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lessandro\Downloads\"/>
    </mc:Choice>
  </mc:AlternateContent>
  <xr:revisionPtr revIDLastSave="0" documentId="13_ncr:1_{18F940BA-D9A2-4732-A5C8-4DB20916BA53}" xr6:coauthVersionLast="47" xr6:coauthVersionMax="47" xr10:uidLastSave="{00000000-0000-0000-0000-000000000000}"/>
  <bookViews>
    <workbookView xWindow="-120" yWindow="-120" windowWidth="29040" windowHeight="15720" activeTab="2" xr2:uid="{EECEC136-0DC6-4EBB-85F2-2BE33C509D1E}"/>
  </bookViews>
  <sheets>
    <sheet name="Gironi" sheetId="1" r:id="rId1"/>
    <sheet name="Qualificate" sheetId="2" r:id="rId2"/>
    <sheet name="Tabellone" sheetId="3" r:id="rId3"/>
    <sheet name="Matrice" sheetId="4" state="hidden" r:id="rId4"/>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0" i="3" l="1"/>
  <c r="H29" i="3"/>
  <c r="G32" i="3" s="1"/>
  <c r="AC32" i="3" s="1"/>
  <c r="H26" i="3"/>
  <c r="I26" i="3" s="1"/>
  <c r="H24" i="3"/>
  <c r="I24" i="3" s="1"/>
  <c r="H19" i="3"/>
  <c r="G26" i="3" s="1"/>
  <c r="AC26" i="3" s="1"/>
  <c r="H18" i="3"/>
  <c r="H17" i="3"/>
  <c r="D26" i="3" s="1"/>
  <c r="AB26" i="3" s="1"/>
  <c r="H16" i="3"/>
  <c r="H15" i="3"/>
  <c r="G24" i="3" s="1"/>
  <c r="AC24" i="3" s="1"/>
  <c r="H14" i="3"/>
  <c r="D24" i="3" s="1"/>
  <c r="AB24" i="3" s="1"/>
  <c r="H13" i="3"/>
  <c r="H11" i="3"/>
  <c r="H10" i="3"/>
  <c r="H9" i="3"/>
  <c r="I9" i="3" s="1"/>
  <c r="H8" i="3"/>
  <c r="H7" i="3"/>
  <c r="H6" i="3"/>
  <c r="H5" i="3"/>
  <c r="H4" i="3"/>
  <c r="I4" i="3" s="1"/>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8" i="1" l="1"/>
  <c r="J10" i="1"/>
  <c r="G21" i="3"/>
  <c r="I14" i="3"/>
  <c r="J82" i="1"/>
  <c r="G23" i="3"/>
  <c r="G25" i="3"/>
  <c r="AC25" i="3" s="1"/>
  <c r="G27" i="3"/>
  <c r="J27" i="1"/>
  <c r="J45" i="1"/>
  <c r="J54" i="1"/>
  <c r="J97" i="1"/>
  <c r="C17" i="1"/>
  <c r="C35" i="1"/>
  <c r="C37" i="1"/>
  <c r="C44" i="1"/>
  <c r="C46" i="1"/>
  <c r="C53" i="1"/>
  <c r="C55" i="1"/>
  <c r="C71" i="1"/>
  <c r="D21" i="3"/>
  <c r="AB21" i="3" s="1"/>
  <c r="D23" i="3"/>
  <c r="AB23" i="3" s="1"/>
  <c r="D27" i="3"/>
  <c r="AB27" i="3" s="1"/>
  <c r="D29" i="3"/>
  <c r="AB29" i="3" s="1"/>
  <c r="D31" i="3"/>
  <c r="AB31" i="3" s="1"/>
  <c r="D33" i="3"/>
  <c r="AB33" i="3" s="1"/>
  <c r="I17" i="3"/>
  <c r="I15" i="3"/>
  <c r="C7" i="1"/>
  <c r="C9" i="1"/>
  <c r="D20" i="3"/>
  <c r="D22" i="3"/>
  <c r="G20" i="3"/>
  <c r="AC20" i="3" s="1"/>
  <c r="G22" i="3"/>
  <c r="AC22" i="3" s="1"/>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J81" i="1"/>
  <c r="C80" i="1"/>
  <c r="C82" i="1"/>
  <c r="U82" i="1" s="1"/>
  <c r="J80" i="1"/>
  <c r="C70" i="1"/>
  <c r="J70" i="1"/>
  <c r="J71" i="1"/>
  <c r="J73" i="1"/>
  <c r="C72" i="1"/>
  <c r="J72" i="1"/>
  <c r="C73" i="1"/>
  <c r="J63" i="1"/>
  <c r="J62" i="1"/>
  <c r="J64" i="1"/>
  <c r="C61" i="1"/>
  <c r="C63" i="1"/>
  <c r="C64" i="1"/>
  <c r="C62" i="1"/>
  <c r="J61" i="1"/>
  <c r="J53" i="1"/>
  <c r="J55" i="1"/>
  <c r="C52" i="1"/>
  <c r="C54" i="1"/>
  <c r="J52" i="1"/>
  <c r="J43" i="1"/>
  <c r="C45" i="1"/>
  <c r="C43" i="1"/>
  <c r="J44" i="1"/>
  <c r="J46" i="1"/>
  <c r="C34" i="1"/>
  <c r="C36" i="1"/>
  <c r="J35" i="1"/>
  <c r="J37" i="1"/>
  <c r="J36" i="1"/>
  <c r="C25" i="1"/>
  <c r="C27" i="1"/>
  <c r="C26" i="1"/>
  <c r="J25" i="1"/>
  <c r="J26" i="1"/>
  <c r="C28" i="1"/>
  <c r="J28" i="1"/>
  <c r="C19" i="1"/>
  <c r="J16" i="1"/>
  <c r="C16" i="1"/>
  <c r="C18" i="1"/>
  <c r="J18" i="1"/>
  <c r="J17" i="1"/>
  <c r="J19" i="1"/>
  <c r="J7" i="1"/>
  <c r="C8" i="1"/>
  <c r="C10" i="1"/>
  <c r="J9" i="1"/>
  <c r="U54" i="1" l="1"/>
  <c r="AB22" i="3"/>
  <c r="H22" i="3"/>
  <c r="AC21" i="3"/>
  <c r="H21" i="3"/>
  <c r="AB20" i="3"/>
  <c r="H20" i="3"/>
  <c r="AC23" i="3"/>
  <c r="H23" i="3"/>
  <c r="AC27" i="3"/>
  <c r="H27" i="3"/>
  <c r="V99" i="1"/>
  <c r="U98" i="1"/>
  <c r="U79" i="1"/>
  <c r="V71" i="1"/>
  <c r="V63" i="1"/>
  <c r="U55" i="1"/>
  <c r="V43" i="1"/>
  <c r="U17" i="1"/>
  <c r="U9" i="1"/>
  <c r="U10" i="1"/>
  <c r="U8" i="1"/>
  <c r="U19" i="1"/>
  <c r="V35" i="1"/>
  <c r="U91" i="1"/>
  <c r="U26" i="1"/>
  <c r="U36" i="1"/>
  <c r="U7" i="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I22" i="3" l="1"/>
  <c r="D30" i="3"/>
  <c r="AB30" i="3" s="1"/>
  <c r="G28" i="3"/>
  <c r="AC28" i="3" s="1"/>
  <c r="I21" i="3"/>
  <c r="I27" i="3"/>
  <c r="G31" i="3"/>
  <c r="G30" i="3"/>
  <c r="I23" i="3"/>
  <c r="I20" i="3"/>
  <c r="D28" i="3"/>
  <c r="K54" i="1"/>
  <c r="K35" i="1"/>
  <c r="K10" i="1"/>
  <c r="K7" i="1"/>
  <c r="K19" i="1"/>
  <c r="K36" i="1"/>
  <c r="K8" i="1"/>
  <c r="K53" i="1"/>
  <c r="K9" i="1"/>
  <c r="E4" i="2" s="1"/>
  <c r="K52" i="1"/>
  <c r="K55" i="1"/>
  <c r="K70" i="1"/>
  <c r="B33" i="2" s="1"/>
  <c r="D15" i="3" s="1"/>
  <c r="AB15" i="3" s="1"/>
  <c r="K45" i="1"/>
  <c r="K34" i="1"/>
  <c r="K91" i="1"/>
  <c r="K61" i="1"/>
  <c r="K88" i="1"/>
  <c r="K89" i="1"/>
  <c r="K100" i="1"/>
  <c r="K62" i="1"/>
  <c r="K63" i="1"/>
  <c r="K90" i="1"/>
  <c r="K46" i="1"/>
  <c r="K64" i="1"/>
  <c r="K37" i="1"/>
  <c r="B26" i="2"/>
  <c r="D10" i="3" s="1"/>
  <c r="AB10" i="3" s="1"/>
  <c r="K109" i="1"/>
  <c r="K18" i="1"/>
  <c r="K44" i="1"/>
  <c r="K97" i="1"/>
  <c r="K98" i="1"/>
  <c r="K107" i="1"/>
  <c r="K108" i="1"/>
  <c r="K106" i="1"/>
  <c r="K99" i="1"/>
  <c r="K82" i="1"/>
  <c r="K80" i="1"/>
  <c r="K81" i="1"/>
  <c r="K79" i="1"/>
  <c r="K71" i="1"/>
  <c r="K73" i="1"/>
  <c r="K72" i="1"/>
  <c r="K43" i="1"/>
  <c r="K27" i="1"/>
  <c r="K28" i="1"/>
  <c r="K25" i="1"/>
  <c r="K26" i="1"/>
  <c r="K16" i="1"/>
  <c r="K17" i="1"/>
  <c r="AB28" i="3" l="1"/>
  <c r="H28" i="3"/>
  <c r="AC30" i="3"/>
  <c r="I30" i="3"/>
  <c r="AC31" i="3"/>
  <c r="H31" i="3"/>
  <c r="C35" i="2"/>
  <c r="G15" i="3" s="1"/>
  <c r="AC15" i="3" s="1"/>
  <c r="B10" i="2"/>
  <c r="C9" i="2"/>
  <c r="B31" i="2"/>
  <c r="D6" i="3" s="1"/>
  <c r="B9" i="2"/>
  <c r="L9" i="2"/>
  <c r="E9" i="2"/>
  <c r="D9" i="2"/>
  <c r="C31" i="2"/>
  <c r="G7" i="3" s="1"/>
  <c r="L7" i="2"/>
  <c r="L4" i="2"/>
  <c r="C4" i="2"/>
  <c r="B4" i="2"/>
  <c r="C26" i="2"/>
  <c r="D4" i="3" s="1"/>
  <c r="AB4" i="3" s="1"/>
  <c r="D4" i="2"/>
  <c r="L10" i="2"/>
  <c r="D7" i="2"/>
  <c r="L11" i="2"/>
  <c r="B32" i="2"/>
  <c r="D13" i="3" s="1"/>
  <c r="AB13" i="3" s="1"/>
  <c r="B35" i="2"/>
  <c r="D17" i="3" s="1"/>
  <c r="AB17" i="3" s="1"/>
  <c r="E13" i="2"/>
  <c r="B7" i="2"/>
  <c r="C7" i="2"/>
  <c r="C32" i="2"/>
  <c r="G19" i="3" s="1"/>
  <c r="AC19" i="3" s="1"/>
  <c r="B29" i="2"/>
  <c r="D12" i="3" s="1"/>
  <c r="C29" i="2"/>
  <c r="D19" i="3" s="1"/>
  <c r="D10" i="2"/>
  <c r="C10" i="2"/>
  <c r="E7" i="2"/>
  <c r="E10" i="2"/>
  <c r="L13" i="2"/>
  <c r="B13" i="2"/>
  <c r="C13" i="2"/>
  <c r="D13" i="2"/>
  <c r="D11" i="2"/>
  <c r="L8" i="2"/>
  <c r="E8" i="2"/>
  <c r="C30" i="2"/>
  <c r="D9" i="3" s="1"/>
  <c r="AB9" i="3" s="1"/>
  <c r="D8" i="2"/>
  <c r="B30" i="2"/>
  <c r="D5" i="3" s="1"/>
  <c r="AB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AB6" i="3" l="1"/>
  <c r="I6" i="3"/>
  <c r="AC7" i="3"/>
  <c r="I7" i="3"/>
  <c r="AB12" i="3"/>
  <c r="H12" i="3"/>
  <c r="AB19" i="3"/>
  <c r="I19" i="3"/>
  <c r="I31" i="3"/>
  <c r="G33" i="3"/>
  <c r="I28" i="3"/>
  <c r="D32" i="3"/>
  <c r="K9" i="2"/>
  <c r="K4" i="2"/>
  <c r="M4" i="2"/>
  <c r="K14" i="2"/>
  <c r="K10" i="2"/>
  <c r="AD6" i="3"/>
  <c r="L13" i="3" s="1"/>
  <c r="M9" i="2"/>
  <c r="K8" i="2"/>
  <c r="K13" i="2"/>
  <c r="K7" i="2"/>
  <c r="K11" i="2"/>
  <c r="K12" i="2"/>
  <c r="M6" i="2"/>
  <c r="M5" i="2"/>
  <c r="K15" i="2"/>
  <c r="K6" i="2"/>
  <c r="K5" i="2"/>
  <c r="M8" i="2"/>
  <c r="M14" i="2"/>
  <c r="M13" i="2"/>
  <c r="M15" i="2"/>
  <c r="M12" i="2"/>
  <c r="M10" i="2"/>
  <c r="M7" i="2"/>
  <c r="M11" i="2"/>
  <c r="AB32" i="3" l="1"/>
  <c r="H32" i="3"/>
  <c r="AC33" i="3"/>
  <c r="H33" i="3"/>
  <c r="D25" i="3"/>
  <c r="L12" i="3"/>
  <c r="G8" i="2"/>
  <c r="H8" i="2" s="1"/>
  <c r="L11" i="3"/>
  <c r="L16" i="3"/>
  <c r="L5" i="3"/>
  <c r="L18" i="3"/>
  <c r="L10" i="3"/>
  <c r="L8" i="3"/>
  <c r="G15" i="2"/>
  <c r="H15" i="2" s="1"/>
  <c r="G13" i="2"/>
  <c r="H13" i="2" s="1"/>
  <c r="G6" i="2"/>
  <c r="H6" i="2" s="1"/>
  <c r="G12" i="2"/>
  <c r="H12" i="2" s="1"/>
  <c r="G5" i="2"/>
  <c r="H5" i="2" s="1"/>
  <c r="G14" i="2"/>
  <c r="H14" i="2" s="1"/>
  <c r="G4" i="2"/>
  <c r="G10" i="2"/>
  <c r="H10" i="2" s="1"/>
  <c r="G9" i="2"/>
  <c r="H9" i="2" s="1"/>
  <c r="G7" i="2"/>
  <c r="H7" i="2" s="1"/>
  <c r="G11" i="2"/>
  <c r="H11" i="2" s="1"/>
  <c r="AB25" i="3" l="1"/>
  <c r="H25" i="3"/>
  <c r="I33" i="3"/>
  <c r="G34" i="3" s="1"/>
  <c r="AC34" i="3" s="1"/>
  <c r="G35" i="3"/>
  <c r="AC35" i="3" s="1"/>
  <c r="I32" i="3"/>
  <c r="D34" i="3" s="1"/>
  <c r="D35" i="3"/>
  <c r="H4" i="2"/>
  <c r="AD2" i="3" s="1"/>
  <c r="AD4" i="3" s="1"/>
  <c r="H45" i="3"/>
  <c r="H39" i="3"/>
  <c r="G45" i="3"/>
  <c r="G39" i="3"/>
  <c r="H44" i="3"/>
  <c r="H38" i="3"/>
  <c r="G44" i="3"/>
  <c r="G38" i="3"/>
  <c r="H43" i="3"/>
  <c r="G43" i="3"/>
  <c r="H42" i="3"/>
  <c r="G42" i="3"/>
  <c r="G40" i="3"/>
  <c r="H41" i="3"/>
  <c r="G41" i="3"/>
  <c r="H40" i="3"/>
  <c r="AB35" i="3" l="1"/>
  <c r="H35" i="3"/>
  <c r="AB34" i="3"/>
  <c r="H34" i="3"/>
  <c r="I25" i="3"/>
  <c r="G29" i="3"/>
  <c r="G18" i="3"/>
  <c r="G16" i="3"/>
  <c r="G10" i="3"/>
  <c r="G8" i="3"/>
  <c r="G5" i="3"/>
  <c r="G13" i="3"/>
  <c r="G11" i="3"/>
  <c r="G12" i="3"/>
  <c r="AC13" i="3" l="1"/>
  <c r="I13" i="3"/>
  <c r="AC10" i="3"/>
  <c r="I10" i="3"/>
  <c r="AC5" i="3"/>
  <c r="I5" i="3"/>
  <c r="AC16" i="3"/>
  <c r="I16" i="3"/>
  <c r="AC11" i="3"/>
  <c r="I11" i="3"/>
  <c r="AC18" i="3"/>
  <c r="I18" i="3"/>
  <c r="AC8" i="3"/>
  <c r="I8" i="3"/>
  <c r="AC29" i="3"/>
  <c r="I29" i="3"/>
  <c r="I34" i="3"/>
  <c r="D40" i="3" s="1"/>
  <c r="D39" i="3"/>
  <c r="AC12" i="3"/>
  <c r="I12" i="3"/>
  <c r="I35" i="3"/>
  <c r="D38" i="3" s="1"/>
  <c r="D37" i="3"/>
</calcChain>
</file>

<file path=xl/sharedStrings.xml><?xml version="1.0" encoding="utf-8"?>
<sst xmlns="http://schemas.openxmlformats.org/spreadsheetml/2006/main" count="4557" uniqueCount="202">
  <si>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</si>
  <si>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</si>
  <si>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</si>
  <si>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</si>
  <si>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</si>
  <si>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</si>
  <si>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</si>
  <si>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</si>
  <si>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</si>
  <si>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</si>
  <si>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</si>
  <si>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</si>
  <si>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</si>
  <si>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</si>
  <si>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</si>
  <si>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</si>
  <si>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</si>
  <si>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</si>
  <si>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</si>
  <si>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</si>
  <si>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</si>
  <si>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</si>
  <si>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</si>
  <si>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</si>
  <si>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</si>
  <si>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</si>
  <si>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</si>
  <si>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</si>
  <si>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</si>
  <si>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</si>
  <si>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</si>
  <si>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</si>
  <si>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</si>
  <si>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</si>
  <si>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</si>
  <si>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</si>
  <si>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</si>
  <si>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</si>
  <si>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</si>
  <si>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</si>
  <si>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</si>
  <si>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</si>
  <si>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</si>
  <si>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</si>
  <si>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</si>
  <si>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</si>
  <si>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</si>
  <si>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</si>
  <si>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</si>
  <si>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</si>
  <si>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</si>
  <si>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</si>
  <si>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</si>
  <si>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</si>
  <si>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</si>
  <si>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</si>
  <si>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</si>
  <si>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</si>
  <si>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</si>
  <si>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</si>
  <si>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</si>
  <si>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</si>
  <si>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</si>
  <si>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</si>
  <si>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</si>
  <si>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</si>
  <si>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</si>
  <si>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</si>
  <si>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</si>
  <si>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</si>
  <si>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</si>
  <si>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</si>
  <si>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</si>
  <si>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</si>
  <si>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</si>
  <si>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</si>
  <si>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</si>
  <si>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</si>
  <si>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</si>
  <si>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</si>
  <si>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</si>
  <si>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</si>
  <si>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</si>
  <si>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</si>
  <si>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</si>
  <si>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</si>
  <si>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</si>
  <si>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</si>
  <si>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</si>
  <si>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</si>
  <si>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</si>
  <si>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</si>
  <si>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</si>
  <si>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</si>
  <si>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</si>
  <si>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</si>
  <si>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</si>
  <si>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</si>
  <si>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</si>
  <si>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</si>
  <si>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</si>
  <si>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</si>
  <si>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</si>
  <si>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</si>
  <si>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</si>
  <si>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</si>
  <si>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</si>
  <si>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</si>
  <si>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</si>
  <si>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</si>
  <si>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</si>
  <si>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</si>
  <si>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</si>
  <si>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</si>
  <si>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</si>
  <si>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</si>
  <si>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</si>
  <si>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</si>
  <si>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</si>
  <si>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</si>
  <si>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</si>
  <si>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</si>
  <si>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</si>
  <si>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</si>
  <si>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</si>
  <si>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</si>
  <si>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</si>
  <si>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</si>
  <si>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</si>
  <si>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</si>
  <si>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</si>
  <si>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</si>
  <si>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</si>
  <si>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</si>
  <si>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</si>
  <si>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</si>
  <si>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</si>
  <si>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</si>
  <si>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</si>
  <si>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</si>
  <si>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</si>
  <si>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</si>
  <si>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</si>
  <si>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</si>
  <si>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</si>
  <si>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</si>
  <si>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</si>
  <si>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</si>
  <si>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</si>
  <si>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</si>
  <si>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</si>
  <si>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</si>
  <si>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</si>
  <si>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</si>
  <si>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</si>
  <si>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</si>
  <si>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</si>
  <si>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</si>
  <si>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</si>
  <si>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</si>
  <si>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</si>
  <si>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</si>
  <si>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</si>
  <si>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</si>
  <si>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</si>
  <si>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</si>
  <si>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</si>
  <si>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</si>
  <si>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</si>
  <si>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</si>
  <si>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</si>
  <si>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</si>
  <si>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</si>
  <si>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</si>
  <si>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</si>
  <si>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</si>
  <si>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</si>
  <si>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</si>
  <si>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</si>
  <si>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</si>
  <si>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</si>
  <si>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</si>
  <si>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</si>
  <si>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</si>
  <si>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</si>
  <si>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</si>
  <si>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</si>
  <si>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</si>
  <si>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</si>
  <si>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</si>
  <si>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</si>
  <si>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</si>
  <si>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</si>
  <si>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</si>
  <si>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</si>
  <si>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</si>
  <si>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</si>
  <si>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</si>
  <si>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</si>
  <si>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</si>
  <si>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REOLON ALESSANDRO</t>
  </si>
  <si>
    <t>KEANE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</si>
</sst>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opLeftCell="A58" workbookViewId="0">
      <selection activeCell="R56" sqref="R56"/>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5" t="s">
        <v>200</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x14ac:dyDescent="0.2">
      <c r="B7" s="7" t="s">
        <v>44</v>
      </c>
      <c r="C7" s="8">
        <f>3*E7+F7</f>
        <v>7</v>
      </c>
      <c r="D7" s="8">
        <f>SUMPRODUCT((($O$7:$O$12=$B$7)+($R$7:$R$12=$B$7))*ISNUMBER($P$7:$P$12)*ISNUMBER($Q$7:$Q$12))</f>
        <v>3</v>
      </c>
      <c r="E7" s="8">
        <f>SUMPRODUCT(($O$7:$O$12=$B$7)*ISNUMBER($P$7:$P$12)*ISNUMBER($Q$7:$Q$12)*($P$7:$P$12&gt;$Q$7:$Q$12))+SUMPRODUCT(($R$7:$R$12=$B$7)*ISNUMBER($P$7:$P$12)*ISNUMBER($Q$7:$Q$12)*($Q$7:$Q$12&gt;$P$7:$P$12))</f>
        <v>2</v>
      </c>
      <c r="F7" s="8">
        <f>SUMPRODUCT((($O$7:$O$12=$B$7)+($R$7:$R$12=$B$7))*ISNUMBER($P$7:$P$12)*ISNUMBER($Q$7:$Q$12)*($P$7:$P$12=$Q$7:$Q$12))</f>
        <v>1</v>
      </c>
      <c r="G7" s="8">
        <f>SUMPRODUCT(($O$7:$O$12=$B$7)*ISNUMBER($P$7:$P$12)*ISNUMBER($Q$7:$Q$12)*($P$7:$P$12&lt;$Q$7:$Q$12))+SUMPRODUCT(($R$7:$R$12=$B$7)*ISNUMBER($P$7:$P$12)*ISNUMBER($Q$7:$Q$12)*($Q$7:$Q$12&lt;$P$7:$P$12))</f>
        <v>0</v>
      </c>
      <c r="H7" s="8">
        <f>SUMPRODUCT(($O$7:$O$12=$B$7)*ISNUMBER($P$7:$P$12)*ISNUMBER($Q$7:$Q$12)*$P$7:$P$12)+SUMPRODUCT(($R$7:$R$12=$B$7)*ISNUMBER($P$7:$P$12)*ISNUMBER($Q$7:$Q$12)*$Q$7:$Q$12)</f>
        <v>6</v>
      </c>
      <c r="I7" s="8">
        <f>SUMPRODUCT(($O$7:$O$12=$B$7)*ISNUMBER($P$7:$P$12)*ISNUMBER($Q$7:$Q$12)*$Q$7:$Q$12)+SUMPRODUCT(($R$7:$R$12=$B$7)*ISNUMBER($P$7:$P$12)*ISNUMBER($Q$7:$Q$12)*$P$7:$P$12)</f>
        <v>4</v>
      </c>
      <c r="J7" s="8">
        <f>H7-I7</f>
        <v>2</v>
      </c>
      <c r="K7" s="8">
        <f>SUMPRODUCT(($U$7:$U$10&gt;U7)*1)+1</f>
        <v>1</v>
      </c>
      <c r="L7" s="9">
        <v>0</v>
      </c>
      <c r="M7" s="8">
        <v>1</v>
      </c>
      <c r="N7" s="18">
        <v>46184</v>
      </c>
      <c r="O7" s="7" t="s">
        <v>44</v>
      </c>
      <c r="P7" s="9">
        <v>2</v>
      </c>
      <c r="Q7" s="9">
        <v>1</v>
      </c>
      <c r="R7" s="7" t="s">
        <v>45</v>
      </c>
      <c r="U7" s="3">
        <f>C7*10000000+L7*100000+(J7+100)*100+H7+3*0.001</f>
        <v>70010206.003000006</v>
      </c>
      <c r="V7" s="3">
        <f>IF(AND(MIN($D$7:$D$10)=3,COUNTIFS($C$7:$C$10,C7,$J$7:$J$10,J7,$H$7:$H$10,H7,$I$7:$I$10,I7)&gt;1),1,0)</f>
        <v>0</v>
      </c>
    </row>
    <row r="8" spans="2:24" x14ac:dyDescent="0.2">
      <c r="B8" s="7" t="s">
        <v>45</v>
      </c>
      <c r="C8" s="8">
        <f>3*E8+F8</f>
        <v>0</v>
      </c>
      <c r="D8" s="8">
        <f>SUMPRODUCT((($O$7:$O$12=$B$8)+($R$7:$R$12=$B$8))*ISNUMBER($P$7:$P$12)*ISNUMBER($Q$7:$Q$12))</f>
        <v>3</v>
      </c>
      <c r="E8" s="8">
        <f>SUMPRODUCT(($O$7:$O$12=$B$8)*ISNUMBER($P$7:$P$12)*ISNUMBER($Q$7:$Q$12)*($P$7:$P$12&gt;$Q$7:$Q$12))+SUMPRODUCT(($R$7:$R$12=$B$8)*ISNUMBER($P$7:$P$12)*ISNUMBER($Q$7:$Q$12)*($Q$7:$Q$12&gt;$P$7:$P$12))</f>
        <v>0</v>
      </c>
      <c r="F8" s="8">
        <f>SUMPRODUCT((($O$7:$O$12=$B$8)+($R$7:$R$12=$B$8))*ISNUMBER($P$7:$P$12)*ISNUMBER($Q$7:$Q$12)*($P$7:$P$12=$Q$7:$Q$12))</f>
        <v>0</v>
      </c>
      <c r="G8" s="8">
        <f>SUMPRODUCT(($O$7:$O$12=$B$8)*ISNUMBER($P$7:$P$12)*ISNUMBER($Q$7:$Q$12)*($P$7:$P$12&lt;$Q$7:$Q$12))+SUMPRODUCT(($R$7:$R$12=$B$8)*ISNUMBER($P$7:$P$12)*ISNUMBER($Q$7:$Q$12)*($Q$7:$Q$12&lt;$P$7:$P$12))</f>
        <v>3</v>
      </c>
      <c r="H8" s="8">
        <f>SUMPRODUCT(($O$7:$O$12=$B$8)*ISNUMBER($P$7:$P$12)*ISNUMBER($Q$7:$Q$12)*$P$7:$P$12)+SUMPRODUCT(($R$7:$R$12=$B$8)*ISNUMBER($P$7:$P$12)*ISNUMBER($Q$7:$Q$12)*$Q$7:$Q$12)</f>
        <v>1</v>
      </c>
      <c r="I8" s="8">
        <f>SUMPRODUCT(($O$7:$O$12=$B$8)*ISNUMBER($P$7:$P$12)*ISNUMBER($Q$7:$Q$12)*$Q$7:$Q$12)+SUMPRODUCT(($R$7:$R$12=$B$8)*ISNUMBER($P$7:$P$12)*ISNUMBER($Q$7:$Q$12)*$P$7:$P$12)</f>
        <v>5</v>
      </c>
      <c r="J8" s="8">
        <f>H8-I8</f>
        <v>-4</v>
      </c>
      <c r="K8" s="8">
        <f>SUMPRODUCT(($U$7:$U$10&gt;U8)*1)+1</f>
        <v>4</v>
      </c>
      <c r="L8" s="9">
        <v>0</v>
      </c>
      <c r="M8" s="8">
        <v>2</v>
      </c>
      <c r="N8" s="18">
        <v>46184</v>
      </c>
      <c r="O8" s="7" t="s">
        <v>46</v>
      </c>
      <c r="P8" s="9">
        <v>1</v>
      </c>
      <c r="Q8" s="9">
        <v>1</v>
      </c>
      <c r="R8" s="7" t="s">
        <v>47</v>
      </c>
      <c r="U8" s="3">
        <f>C8*10000000+L8*100000+(J8+100)*100+H8+2*0.001</f>
        <v>9601.0020000000004</v>
      </c>
      <c r="V8" s="3">
        <f>IF(AND(MIN($D$7:$D$10)=3,COUNTIFS($C$7:$C$10,C8,$J$7:$J$10,J8,$H$7:$H$10,H8,$I$7:$I$10,I8)&gt;1),1,0)</f>
        <v>0</v>
      </c>
    </row>
    <row r="9" spans="2:24" x14ac:dyDescent="0.2">
      <c r="B9" s="7" t="s">
        <v>46</v>
      </c>
      <c r="C9" s="8">
        <f>3*E9+F9</f>
        <v>4</v>
      </c>
      <c r="D9" s="8">
        <f>SUMPRODUCT((($O$7:$O$12=$B$9)+($R$7:$R$12=$B$9))*ISNUMBER($P$7:$P$12)*ISNUMBER($Q$7:$Q$12))</f>
        <v>3</v>
      </c>
      <c r="E9" s="8">
        <f>SUMPRODUCT(($O$7:$O$12=$B$9)*ISNUMBER($P$7:$P$12)*ISNUMBER($Q$7:$Q$12)*($P$7:$P$12&gt;$Q$7:$Q$12))+SUMPRODUCT(($R$7:$R$12=$B$9)*ISNUMBER($P$7:$P$12)*ISNUMBER($Q$7:$Q$12)*($Q$7:$Q$12&gt;$P$7:$P$12))</f>
        <v>1</v>
      </c>
      <c r="F9" s="8">
        <f>SUMPRODUCT((($O$7:$O$12=$B$9)+($R$7:$R$12=$B$9))*ISNUMBER($P$7:$P$12)*ISNUMBER($Q$7:$Q$12)*($P$7:$P$12=$Q$7:$Q$12))</f>
        <v>1</v>
      </c>
      <c r="G9" s="8">
        <f>SUMPRODUCT(($O$7:$O$12=$B$9)*ISNUMBER($P$7:$P$12)*ISNUMBER($Q$7:$Q$12)*($P$7:$P$12&lt;$Q$7:$Q$12))+SUMPRODUCT(($R$7:$R$12=$B$9)*ISNUMBER($P$7:$P$12)*ISNUMBER($Q$7:$Q$12)*($Q$7:$Q$12&lt;$P$7:$P$12))</f>
        <v>1</v>
      </c>
      <c r="H9" s="8">
        <f>SUMPRODUCT(($O$7:$O$12=$B$9)*ISNUMBER($P$7:$P$12)*ISNUMBER($Q$7:$Q$12)*$P$7:$P$12)+SUMPRODUCT(($R$7:$R$12=$B$9)*ISNUMBER($P$7:$P$12)*ISNUMBER($Q$7:$Q$12)*$Q$7:$Q$12)</f>
        <v>4</v>
      </c>
      <c r="I9" s="8">
        <f>SUMPRODUCT(($O$7:$O$12=$B$9)*ISNUMBER($P$7:$P$12)*ISNUMBER($Q$7:$Q$12)*$Q$7:$Q$12)+SUMPRODUCT(($R$7:$R$12=$B$9)*ISNUMBER($P$7:$P$12)*ISNUMBER($Q$7:$Q$12)*$P$7:$P$12)</f>
        <v>3</v>
      </c>
      <c r="J9" s="8">
        <f>H9-I9</f>
        <v>1</v>
      </c>
      <c r="K9" s="8">
        <f>SUMPRODUCT(($U$7:$U$10&gt;U9)*1)+1</f>
        <v>3</v>
      </c>
      <c r="L9" s="9">
        <v>0</v>
      </c>
      <c r="M9" s="8">
        <v>25</v>
      </c>
      <c r="N9" s="18">
        <v>46191</v>
      </c>
      <c r="O9" s="7" t="s">
        <v>47</v>
      </c>
      <c r="P9" s="9">
        <v>1</v>
      </c>
      <c r="Q9" s="9">
        <v>0</v>
      </c>
      <c r="R9" s="7" t="s">
        <v>45</v>
      </c>
      <c r="U9" s="3">
        <f>C9*10000000+L9*100000+(J9+100)*100+H9+1*0.001</f>
        <v>40010104.001000002</v>
      </c>
      <c r="V9" s="3">
        <f>IF(AND(MIN($D$7:$D$10)=3,COUNTIFS($C$7:$C$10,C9,$J$7:$J$10,J9,$H$7:$H$10,H9,$I$7:$I$10,I9)&gt;1),1,0)</f>
        <v>0</v>
      </c>
    </row>
    <row r="10" spans="2:24" x14ac:dyDescent="0.2">
      <c r="B10" s="7" t="s">
        <v>47</v>
      </c>
      <c r="C10" s="8">
        <f>3*E10+F10</f>
        <v>5</v>
      </c>
      <c r="D10" s="8">
        <f>SUMPRODUCT((($O$7:$O$12=$B$10)+($R$7:$R$12=$B$10))*ISNUMBER($P$7:$P$12)*ISNUMBER($Q$7:$Q$12))</f>
        <v>3</v>
      </c>
      <c r="E10" s="8">
        <f>SUMPRODUCT(($O$7:$O$12=$B$10)*ISNUMBER($P$7:$P$12)*ISNUMBER($Q$7:$Q$12)*($P$7:$P$12&gt;$Q$7:$Q$12))+SUMPRODUCT(($R$7:$R$12=$B$10)*ISNUMBER($P$7:$P$12)*ISNUMBER($Q$7:$Q$12)*($Q$7:$Q$12&gt;$P$7:$P$12))</f>
        <v>1</v>
      </c>
      <c r="F10" s="8">
        <f>SUMPRODUCT((($O$7:$O$12=$B$10)+($R$7:$R$12=$B$10))*ISNUMBER($P$7:$P$12)*ISNUMBER($Q$7:$Q$12)*($P$7:$P$12=$Q$7:$Q$12))</f>
        <v>2</v>
      </c>
      <c r="G10" s="8">
        <f>SUMPRODUCT(($O$7:$O$12=$B$10)*ISNUMBER($P$7:$P$12)*ISNUMBER($Q$7:$Q$12)*($P$7:$P$12&lt;$Q$7:$Q$12))+SUMPRODUCT(($R$7:$R$12=$B$10)*ISNUMBER($P$7:$P$12)*ISNUMBER($Q$7:$Q$12)*($Q$7:$Q$12&lt;$P$7:$P$12))</f>
        <v>0</v>
      </c>
      <c r="H10" s="8">
        <f>SUMPRODUCT(($O$7:$O$12=$B$10)*ISNUMBER($P$7:$P$12)*ISNUMBER($Q$7:$Q$12)*$P$7:$P$12)+SUMPRODUCT(($R$7:$R$12=$B$10)*ISNUMBER($P$7:$P$12)*ISNUMBER($Q$7:$Q$12)*$Q$7:$Q$12)</f>
        <v>4</v>
      </c>
      <c r="I10" s="8">
        <f>SUMPRODUCT(($O$7:$O$12=$B$10)*ISNUMBER($P$7:$P$12)*ISNUMBER($Q$7:$Q$12)*$Q$7:$Q$12)+SUMPRODUCT(($R$7:$R$12=$B$10)*ISNUMBER($P$7:$P$12)*ISNUMBER($Q$7:$Q$12)*$P$7:$P$12)</f>
        <v>3</v>
      </c>
      <c r="J10" s="8">
        <f>H10-I10</f>
        <v>1</v>
      </c>
      <c r="K10" s="8">
        <f>SUMPRODUCT(($U$7:$U$10&gt;U10)*1)+1</f>
        <v>2</v>
      </c>
      <c r="L10" s="9">
        <v>0</v>
      </c>
      <c r="M10" s="8">
        <v>28</v>
      </c>
      <c r="N10" s="18">
        <v>46191</v>
      </c>
      <c r="O10" s="7" t="s">
        <v>44</v>
      </c>
      <c r="P10" s="9">
        <v>2</v>
      </c>
      <c r="Q10" s="9">
        <v>1</v>
      </c>
      <c r="R10" s="7" t="s">
        <v>46</v>
      </c>
      <c r="U10" s="3">
        <f>C10*10000000+L10*100000+(J10+100)*100+H10+0*0.001</f>
        <v>50010104</v>
      </c>
      <c r="V10" s="3">
        <f>IF(AND(MIN($D$7:$D$10)=3,COUNTIFS($C$7:$C$10,C10,$J$7:$J$10,J10,$H$7:$H$10,H10,$I$7:$I$10,I10)&gt;1),1,0)</f>
        <v>0</v>
      </c>
    </row>
    <row r="11" spans="2:24" x14ac:dyDescent="0.2">
      <c r="M11" s="8">
        <v>53</v>
      </c>
      <c r="N11" s="18">
        <v>46197</v>
      </c>
      <c r="O11" s="7" t="s">
        <v>47</v>
      </c>
      <c r="P11" s="9">
        <v>2</v>
      </c>
      <c r="Q11" s="9">
        <v>2</v>
      </c>
      <c r="R11" s="7" t="s">
        <v>44</v>
      </c>
    </row>
    <row r="12" spans="2:24" x14ac:dyDescent="0.2">
      <c r="M12" s="8">
        <v>54</v>
      </c>
      <c r="N12" s="18">
        <v>46197</v>
      </c>
      <c r="O12" s="7" t="s">
        <v>45</v>
      </c>
      <c r="P12" s="9">
        <v>0</v>
      </c>
      <c r="Q12" s="9">
        <v>2</v>
      </c>
      <c r="R12" s="7"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x14ac:dyDescent="0.2">
      <c r="B16" s="7" t="s">
        <v>49</v>
      </c>
      <c r="C16" s="8">
        <f>3*E16+F16</f>
        <v>6</v>
      </c>
      <c r="D16" s="8">
        <f>SUMPRODUCT((($O$16:$O$21=$B$16)+($R$16:$R$21=$B$16))*ISNUMBER($P$16:$P$21)*ISNUMBER($Q$16:$Q$21))</f>
        <v>3</v>
      </c>
      <c r="E16" s="8">
        <f>SUMPRODUCT(($O$16:$O$21=$B$16)*ISNUMBER($P$16:$P$21)*ISNUMBER($Q$16:$Q$21)*($P$16:$P$21&gt;$Q$16:$Q$21))+SUMPRODUCT(($R$16:$R$21=$B$16)*ISNUMBER($P$16:$P$21)*ISNUMBER($Q$16:$Q$21)*($Q$16:$Q$21&gt;$P$16:$P$21))</f>
        <v>2</v>
      </c>
      <c r="F16" s="8">
        <f>SUMPRODUCT((($O$16:$O$21=$B$16)+($R$16:$R$21=$B$16))*ISNUMBER($P$16:$P$21)*ISNUMBER($Q$16:$Q$21)*($P$16:$P$21=$Q$16:$Q$21))</f>
        <v>0</v>
      </c>
      <c r="G16" s="8">
        <f>SUMPRODUCT(($O$16:$O$21=$B$16)*ISNUMBER($P$16:$P$21)*ISNUMBER($Q$16:$Q$21)*($P$16:$P$21&lt;$Q$16:$Q$21))+SUMPRODUCT(($R$16:$R$21=$B$16)*ISNUMBER($P$16:$P$21)*ISNUMBER($Q$16:$Q$21)*($Q$16:$Q$21&lt;$P$16:$P$21))</f>
        <v>1</v>
      </c>
      <c r="H16" s="8">
        <f>SUMPRODUCT(($O$16:$O$21=$B$16)*ISNUMBER($P$16:$P$21)*ISNUMBER($Q$16:$Q$21)*$P$16:$P$21)+SUMPRODUCT(($R$16:$R$21=$B$16)*ISNUMBER($P$16:$P$21)*ISNUMBER($Q$16:$Q$21)*$Q$16:$Q$21)</f>
        <v>4</v>
      </c>
      <c r="I16" s="8">
        <f>SUMPRODUCT(($O$16:$O$21=$B$16)*ISNUMBER($P$16:$P$21)*ISNUMBER($Q$16:$Q$21)*$Q$16:$Q$21)+SUMPRODUCT(($R$16:$R$21=$B$16)*ISNUMBER($P$16:$P$21)*ISNUMBER($Q$16:$Q$21)*$P$16:$P$21)</f>
        <v>2</v>
      </c>
      <c r="J16" s="8">
        <f>H16-I16</f>
        <v>2</v>
      </c>
      <c r="K16" s="8">
        <f>SUMPRODUCT(($U$16:$U$19&gt;U16)*1)+1</f>
        <v>2</v>
      </c>
      <c r="L16" s="9">
        <v>0</v>
      </c>
      <c r="M16" s="8">
        <v>3</v>
      </c>
      <c r="N16" s="18">
        <v>46185</v>
      </c>
      <c r="O16" s="7" t="s">
        <v>49</v>
      </c>
      <c r="P16" s="9">
        <v>2</v>
      </c>
      <c r="Q16" s="9">
        <v>1</v>
      </c>
      <c r="R16" s="7" t="s">
        <v>52</v>
      </c>
      <c r="U16" s="3">
        <f>C16*10000000+L16*100000+(J16+100)*100+H16+3*0.001</f>
        <v>60010204.002999999</v>
      </c>
      <c r="V16" s="3">
        <f>IF(AND(MIN($D$16:$D$19)=3,COUNTIFS($C$16:$C$19,C16,$J$16:$J$19,J16,$H$16:$H$19,H16,$I$16:$I$19,I16)&gt;1),1,0)</f>
        <v>0</v>
      </c>
    </row>
    <row r="17" spans="2:24" x14ac:dyDescent="0.2">
      <c r="B17" s="7" t="s">
        <v>50</v>
      </c>
      <c r="C17" s="8">
        <f>3*E17+F17</f>
        <v>9</v>
      </c>
      <c r="D17" s="8">
        <f>SUMPRODUCT((($O$16:$O$21=$B$17)+($R$16:$R$21=$B$17))*ISNUMBER($P$16:$P$21)*ISNUMBER($Q$16:$Q$21))</f>
        <v>3</v>
      </c>
      <c r="E17" s="8">
        <f>SUMPRODUCT(($O$16:$O$21=$B$17)*ISNUMBER($P$16:$P$21)*ISNUMBER($Q$16:$Q$21)*($P$16:$P$21&gt;$Q$16:$Q$21))+SUMPRODUCT(($R$16:$R$21=$B$17)*ISNUMBER($P$16:$P$21)*ISNUMBER($Q$16:$Q$21)*($Q$16:$Q$21&gt;$P$16:$P$21))</f>
        <v>3</v>
      </c>
      <c r="F17" s="8">
        <f>SUMPRODUCT((($O$16:$O$21=$B$17)+($R$16:$R$21=$B$17))*ISNUMBER($P$16:$P$21)*ISNUMBER($Q$16:$Q$21)*($P$16:$P$21=$Q$16:$Q$21))</f>
        <v>0</v>
      </c>
      <c r="G17" s="8">
        <f>SUMPRODUCT(($O$16:$O$21=$B$17)*ISNUMBER($P$16:$P$21)*ISNUMBER($Q$16:$Q$21)*($P$16:$P$21&lt;$Q$16:$Q$21))+SUMPRODUCT(($R$16:$R$21=$B$17)*ISNUMBER($P$16:$P$21)*ISNUMBER($Q$16:$Q$21)*($Q$16:$Q$21&lt;$P$16:$P$21))</f>
        <v>0</v>
      </c>
      <c r="H17" s="8">
        <f>SUMPRODUCT(($O$16:$O$21=$B$17)*ISNUMBER($P$16:$P$21)*ISNUMBER($Q$16:$Q$21)*$P$16:$P$21)+SUMPRODUCT(($R$16:$R$21=$B$17)*ISNUMBER($P$16:$P$21)*ISNUMBER($Q$16:$Q$21)*$Q$16:$Q$21)</f>
        <v>6</v>
      </c>
      <c r="I17" s="8">
        <f>SUMPRODUCT(($O$16:$O$21=$B$17)*ISNUMBER($P$16:$P$21)*ISNUMBER($Q$16:$Q$21)*$Q$16:$Q$21)+SUMPRODUCT(($R$16:$R$21=$B$17)*ISNUMBER($P$16:$P$21)*ISNUMBER($Q$16:$Q$21)*$P$16:$P$21)</f>
        <v>1</v>
      </c>
      <c r="J17" s="8">
        <f>H17-I17</f>
        <v>5</v>
      </c>
      <c r="K17" s="8">
        <f>SUMPRODUCT(($U$16:$U$19&gt;U17)*1)+1</f>
        <v>1</v>
      </c>
      <c r="L17" s="9">
        <v>0</v>
      </c>
      <c r="M17" s="8">
        <v>8</v>
      </c>
      <c r="N17" s="18">
        <v>46186</v>
      </c>
      <c r="O17" s="7" t="s">
        <v>51</v>
      </c>
      <c r="P17" s="9">
        <v>0</v>
      </c>
      <c r="Q17" s="9">
        <v>3</v>
      </c>
      <c r="R17" s="7" t="s">
        <v>50</v>
      </c>
      <c r="U17" s="3">
        <f>C17*10000000+L17*100000+(J17+100)*100+H17+2*0.001</f>
        <v>90010506.002000004</v>
      </c>
      <c r="V17" s="3">
        <f>IF(AND(MIN($D$16:$D$19)=3,COUNTIFS($C$16:$C$19,C17,$J$16:$J$19,J17,$H$16:$H$19,H17,$I$16:$I$19,I17)&gt;1),1,0)</f>
        <v>0</v>
      </c>
    </row>
    <row r="18" spans="2:24" x14ac:dyDescent="0.2">
      <c r="B18" s="7" t="s">
        <v>51</v>
      </c>
      <c r="C18" s="8">
        <f>3*E18+F18</f>
        <v>0</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0</v>
      </c>
      <c r="G18" s="8">
        <f>SUMPRODUCT(($O$16:$O$21=$B$18)*ISNUMBER($P$16:$P$21)*ISNUMBER($Q$16:$Q$21)*($P$16:$P$21&lt;$Q$16:$Q$21))+SUMPRODUCT(($R$16:$R$21=$B$18)*ISNUMBER($P$16:$P$21)*ISNUMBER($Q$16:$Q$21)*($Q$16:$Q$21&lt;$P$16:$P$21))</f>
        <v>3</v>
      </c>
      <c r="H18" s="8">
        <f>SUMPRODUCT(($O$16:$O$21=$B$18)*ISNUMBER($P$16:$P$21)*ISNUMBER($Q$16:$Q$21)*$P$16:$P$21)+SUMPRODUCT(($R$16:$R$21=$B$18)*ISNUMBER($P$16:$P$21)*ISNUMBER($Q$16:$Q$21)*$Q$16:$Q$21)</f>
        <v>1</v>
      </c>
      <c r="I18" s="8">
        <f>SUMPRODUCT(($O$16:$O$21=$B$18)*ISNUMBER($P$16:$P$21)*ISNUMBER($Q$16:$Q$21)*$Q$16:$Q$21)+SUMPRODUCT(($R$16:$R$21=$B$18)*ISNUMBER($P$16:$P$21)*ISNUMBER($Q$16:$Q$21)*$P$16:$P$21)</f>
        <v>7</v>
      </c>
      <c r="J18" s="8">
        <f>H18-I18</f>
        <v>-6</v>
      </c>
      <c r="K18" s="8">
        <f>SUMPRODUCT(($U$16:$U$19&gt;U18)*1)+1</f>
        <v>4</v>
      </c>
      <c r="L18" s="9">
        <v>0</v>
      </c>
      <c r="M18" s="8">
        <v>26</v>
      </c>
      <c r="N18" s="18">
        <v>46191</v>
      </c>
      <c r="O18" s="7" t="s">
        <v>50</v>
      </c>
      <c r="P18" s="9">
        <v>2</v>
      </c>
      <c r="Q18" s="9">
        <v>1</v>
      </c>
      <c r="R18" s="7" t="s">
        <v>52</v>
      </c>
      <c r="U18" s="3">
        <f>C18*10000000+L18*100000+(J18+100)*100+H18+1*0.001</f>
        <v>9401.0010000000002</v>
      </c>
      <c r="V18" s="3">
        <f>IF(AND(MIN($D$16:$D$19)=3,COUNTIFS($C$16:$C$19,C18,$J$16:$J$19,J18,$H$16:$H$19,H18,$I$16:$I$19,I18)&gt;1),1,0)</f>
        <v>0</v>
      </c>
    </row>
    <row r="19" spans="2:24" x14ac:dyDescent="0.2">
      <c r="B19" s="7" t="s">
        <v>52</v>
      </c>
      <c r="C19" s="8">
        <f>3*E19+F19</f>
        <v>3</v>
      </c>
      <c r="D19" s="8">
        <f>SUMPRODUCT((($O$16:$O$21=$B$19)+($R$16:$R$21=$B$19))*ISNUMBER($P$16:$P$21)*ISNUMBER($Q$16:$Q$21))</f>
        <v>3</v>
      </c>
      <c r="E19" s="8">
        <f>SUMPRODUCT(($O$16:$O$21=$B$19)*ISNUMBER($P$16:$P$21)*ISNUMBER($Q$16:$Q$21)*($P$16:$P$21&gt;$Q$16:$Q$21))+SUMPRODUCT(($R$16:$R$21=$B$19)*ISNUMBER($P$16:$P$21)*ISNUMBER($Q$16:$Q$21)*($Q$16:$Q$21&gt;$P$16:$P$21))</f>
        <v>1</v>
      </c>
      <c r="F19" s="8">
        <f>SUMPRODUCT((($O$16:$O$21=$B$19)+($R$16:$R$21=$B$19))*ISNUMBER($P$16:$P$21)*ISNUMBER($Q$16:$Q$21)*($P$16:$P$21=$Q$16:$Q$21))</f>
        <v>0</v>
      </c>
      <c r="G19" s="8">
        <f>SUMPRODUCT(($O$16:$O$21=$B$19)*ISNUMBER($P$16:$P$21)*ISNUMBER($Q$16:$Q$21)*($P$16:$P$21&lt;$Q$16:$Q$21))+SUMPRODUCT(($R$16:$R$21=$B$19)*ISNUMBER($P$16:$P$21)*ISNUMBER($Q$16:$Q$21)*($Q$16:$Q$21&lt;$P$16:$P$21))</f>
        <v>2</v>
      </c>
      <c r="H19" s="8">
        <f>SUMPRODUCT(($O$16:$O$21=$B$19)*ISNUMBER($P$16:$P$21)*ISNUMBER($Q$16:$Q$21)*$P$16:$P$21)+SUMPRODUCT(($R$16:$R$21=$B$19)*ISNUMBER($P$16:$P$21)*ISNUMBER($Q$16:$Q$21)*$Q$16:$Q$21)</f>
        <v>4</v>
      </c>
      <c r="I19" s="8">
        <f>SUMPRODUCT(($O$16:$O$21=$B$19)*ISNUMBER($P$16:$P$21)*ISNUMBER($Q$16:$Q$21)*$Q$16:$Q$21)+SUMPRODUCT(($R$16:$R$21=$B$19)*ISNUMBER($P$16:$P$21)*ISNUMBER($Q$16:$Q$21)*$P$16:$P$21)</f>
        <v>5</v>
      </c>
      <c r="J19" s="8">
        <f>H19-I19</f>
        <v>-1</v>
      </c>
      <c r="K19" s="8">
        <f>SUMPRODUCT(($U$16:$U$19&gt;U19)*1)+1</f>
        <v>3</v>
      </c>
      <c r="L19" s="9">
        <v>0</v>
      </c>
      <c r="M19" s="8">
        <v>27</v>
      </c>
      <c r="N19" s="18">
        <v>46191</v>
      </c>
      <c r="O19" s="7" t="s">
        <v>49</v>
      </c>
      <c r="P19" s="9">
        <v>2</v>
      </c>
      <c r="Q19" s="9">
        <v>0</v>
      </c>
      <c r="R19" s="7" t="s">
        <v>51</v>
      </c>
      <c r="U19" s="3">
        <f>C19*10000000+L19*100000+(J19+100)*100+H19+0*0.001</f>
        <v>30009904</v>
      </c>
      <c r="V19" s="3">
        <f>IF(AND(MIN($D$16:$D$19)=3,COUNTIFS($C$16:$C$19,C19,$J$16:$J$19,J19,$H$16:$H$19,H19,$I$16:$I$19,I19)&gt;1),1,0)</f>
        <v>0</v>
      </c>
    </row>
    <row r="20" spans="2:24" x14ac:dyDescent="0.2">
      <c r="M20" s="8">
        <v>51</v>
      </c>
      <c r="N20" s="18">
        <v>46197</v>
      </c>
      <c r="O20" s="7" t="s">
        <v>50</v>
      </c>
      <c r="P20" s="9">
        <v>1</v>
      </c>
      <c r="Q20" s="9">
        <v>0</v>
      </c>
      <c r="R20" s="7" t="s">
        <v>49</v>
      </c>
    </row>
    <row r="21" spans="2:24" x14ac:dyDescent="0.2">
      <c r="M21" s="8">
        <v>52</v>
      </c>
      <c r="N21" s="18">
        <v>46197</v>
      </c>
      <c r="O21" s="7" t="s">
        <v>52</v>
      </c>
      <c r="P21" s="9">
        <v>2</v>
      </c>
      <c r="Q21" s="9">
        <v>1</v>
      </c>
      <c r="R21" s="7"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x14ac:dyDescent="0.2">
      <c r="B25" s="7" t="s">
        <v>54</v>
      </c>
      <c r="C25" s="8">
        <f>3*E25+F25</f>
        <v>9</v>
      </c>
      <c r="D25" s="8">
        <f>SUMPRODUCT((($O$25:$O$30=$B$25)+($R$25:$R$30=$B$25))*ISNUMBER($P$25:$P$30)*ISNUMBER($Q$25:$Q$30))</f>
        <v>3</v>
      </c>
      <c r="E25" s="8">
        <f>SUMPRODUCT(($O$25:$O$30=$B$25)*ISNUMBER($P$25:$P$30)*ISNUMBER($Q$25:$Q$30)*($P$25:$P$30&gt;$Q$25:$Q$30))+SUMPRODUCT(($R$25:$R$30=$B$25)*ISNUMBER($P$25:$P$30)*ISNUMBER($Q$25:$Q$30)*($Q$25:$Q$30&gt;$P$25:$P$30))</f>
        <v>3</v>
      </c>
      <c r="F25" s="8">
        <f>SUMPRODUCT((($O$25:$O$30=$B$25)+($R$25:$R$30=$B$25))*ISNUMBER($P$25:$P$30)*ISNUMBER($Q$25:$Q$30)*($P$25:$P$30=$Q$25:$Q$30))</f>
        <v>0</v>
      </c>
      <c r="G25" s="8">
        <f>SUMPRODUCT(($O$25:$O$30=$B$25)*ISNUMBER($P$25:$P$30)*ISNUMBER($Q$25:$Q$30)*($P$25:$P$30&lt;$Q$25:$Q$30))+SUMPRODUCT(($R$25:$R$30=$B$25)*ISNUMBER($P$25:$P$30)*ISNUMBER($Q$25:$Q$30)*($Q$25:$Q$30&lt;$P$25:$P$30))</f>
        <v>0</v>
      </c>
      <c r="H25" s="8">
        <f>SUMPRODUCT(($O$25:$O$30=$B$25)*ISNUMBER($P$25:$P$30)*ISNUMBER($Q$25:$Q$30)*$P$25:$P$30)+SUMPRODUCT(($R$25:$R$30=$B$25)*ISNUMBER($P$25:$P$30)*ISNUMBER($Q$25:$Q$30)*$Q$25:$Q$30)</f>
        <v>9</v>
      </c>
      <c r="I25" s="8">
        <f>SUMPRODUCT(($O$25:$O$30=$B$25)*ISNUMBER($P$25:$P$30)*ISNUMBER($Q$25:$Q$30)*$Q$25:$Q$30)+SUMPRODUCT(($R$25:$R$30=$B$25)*ISNUMBER($P$25:$P$30)*ISNUMBER($Q$25:$Q$30)*$P$25:$P$30)</f>
        <v>1</v>
      </c>
      <c r="J25" s="8">
        <f>H25-I25</f>
        <v>8</v>
      </c>
      <c r="K25" s="8">
        <f>SUMPRODUCT(($U$25:$U$28&gt;U25)*1)+1</f>
        <v>1</v>
      </c>
      <c r="L25" s="9">
        <v>0</v>
      </c>
      <c r="M25" s="8">
        <v>5</v>
      </c>
      <c r="N25" s="18">
        <v>46186</v>
      </c>
      <c r="O25" s="7" t="s">
        <v>56</v>
      </c>
      <c r="P25" s="9">
        <v>1</v>
      </c>
      <c r="Q25" s="9">
        <v>3</v>
      </c>
      <c r="R25" s="7" t="s">
        <v>57</v>
      </c>
      <c r="U25" s="3">
        <f>C25*10000000+L25*100000+(J25+100)*100+H25+3*0.001</f>
        <v>90010809.003000006</v>
      </c>
      <c r="V25" s="3">
        <f>IF(AND(MIN($D$25:$D$28)=3,COUNTIFS($C$25:$C$28,C25,$J$25:$J$28,J25,$H$25:$H$28,H25,$I$25:$I$28,I25)&gt;1),1,0)</f>
        <v>0</v>
      </c>
    </row>
    <row r="26" spans="2:24" x14ac:dyDescent="0.2">
      <c r="B26" s="7" t="s">
        <v>55</v>
      </c>
      <c r="C26" s="8">
        <f>3*E26+F26</f>
        <v>6</v>
      </c>
      <c r="D26" s="8">
        <f>SUMPRODUCT((($O$25:$O$30=$B$26)+($R$25:$R$30=$B$26))*ISNUMBER($P$25:$P$30)*ISNUMBER($Q$25:$Q$30))</f>
        <v>3</v>
      </c>
      <c r="E26" s="8">
        <f>SUMPRODUCT(($O$25:$O$30=$B$26)*ISNUMBER($P$25:$P$30)*ISNUMBER($Q$25:$Q$30)*($P$25:$P$30&gt;$Q$25:$Q$30))+SUMPRODUCT(($R$25:$R$30=$B$26)*ISNUMBER($P$25:$P$30)*ISNUMBER($Q$25:$Q$30)*($Q$25:$Q$30&gt;$P$25:$P$30))</f>
        <v>2</v>
      </c>
      <c r="F26" s="8">
        <f>SUMPRODUCT((($O$25:$O$30=$B$26)+($R$25:$R$30=$B$26))*ISNUMBER($P$25:$P$30)*ISNUMBER($Q$25:$Q$30)*($P$25:$P$30=$Q$25:$Q$30))</f>
        <v>0</v>
      </c>
      <c r="G26" s="8">
        <f>SUMPRODUCT(($O$25:$O$30=$B$26)*ISNUMBER($P$25:$P$30)*ISNUMBER($Q$25:$Q$30)*($P$25:$P$30&lt;$Q$25:$Q$30))+SUMPRODUCT(($R$25:$R$30=$B$26)*ISNUMBER($P$25:$P$30)*ISNUMBER($Q$25:$Q$30)*($Q$25:$Q$30&lt;$P$25:$P$30))</f>
        <v>1</v>
      </c>
      <c r="H26" s="8">
        <f>SUMPRODUCT(($O$25:$O$30=$B$26)*ISNUMBER($P$25:$P$30)*ISNUMBER($Q$25:$Q$30)*$P$25:$P$30)+SUMPRODUCT(($R$25:$R$30=$B$26)*ISNUMBER($P$25:$P$30)*ISNUMBER($Q$25:$Q$30)*$Q$25:$Q$30)</f>
        <v>6</v>
      </c>
      <c r="I26" s="8">
        <f>SUMPRODUCT(($O$25:$O$30=$B$26)*ISNUMBER($P$25:$P$30)*ISNUMBER($Q$25:$Q$30)*$Q$25:$Q$30)+SUMPRODUCT(($R$25:$R$30=$B$26)*ISNUMBER($P$25:$P$30)*ISNUMBER($Q$25:$Q$30)*$P$25:$P$30)</f>
        <v>3</v>
      </c>
      <c r="J26" s="8">
        <f>H26-I26</f>
        <v>3</v>
      </c>
      <c r="K26" s="8">
        <f>SUMPRODUCT(($U$25:$U$28&gt;U26)*1)+1</f>
        <v>2</v>
      </c>
      <c r="L26" s="9">
        <v>0</v>
      </c>
      <c r="M26" s="8">
        <v>7</v>
      </c>
      <c r="N26" s="18">
        <v>46186</v>
      </c>
      <c r="O26" s="7" t="s">
        <v>54</v>
      </c>
      <c r="P26" s="9">
        <v>2</v>
      </c>
      <c r="Q26" s="9">
        <v>1</v>
      </c>
      <c r="R26" s="7" t="s">
        <v>55</v>
      </c>
      <c r="U26" s="3">
        <f>C26*10000000+L26*100000+(J26+100)*100+H26+2*0.001</f>
        <v>60010306.001999997</v>
      </c>
      <c r="V26" s="3">
        <f>IF(AND(MIN($D$25:$D$28)=3,COUNTIFS($C$25:$C$28,C26,$J$25:$J$28,J26,$H$25:$H$28,H26,$I$25:$I$28,I26)&gt;1),1,0)</f>
        <v>0</v>
      </c>
    </row>
    <row r="27" spans="2:24" x14ac:dyDescent="0.2">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1</v>
      </c>
      <c r="I27" s="8">
        <f>SUMPRODUCT(($O$25:$O$30=$B$27)*ISNUMBER($P$25:$P$30)*ISNUMBER($Q$25:$Q$30)*$Q$25:$Q$30)+SUMPRODUCT(($R$25:$R$30=$B$27)*ISNUMBER($P$25:$P$30)*ISNUMBER($Q$25:$Q$30)*$P$25:$P$30)</f>
        <v>10</v>
      </c>
      <c r="J27" s="8">
        <f>H27-I27</f>
        <v>-9</v>
      </c>
      <c r="K27" s="8">
        <f>SUMPRODUCT(($U$25:$U$28&gt;U27)*1)+1</f>
        <v>4</v>
      </c>
      <c r="L27" s="9">
        <v>0</v>
      </c>
      <c r="M27" s="8">
        <v>29</v>
      </c>
      <c r="N27" s="18">
        <v>46192</v>
      </c>
      <c r="O27" s="7" t="s">
        <v>54</v>
      </c>
      <c r="P27" s="9">
        <v>4</v>
      </c>
      <c r="Q27" s="9">
        <v>0</v>
      </c>
      <c r="R27" s="7" t="s">
        <v>56</v>
      </c>
      <c r="U27" s="3">
        <f>C27*10000000+L27*100000+(J27+100)*100+H27+1*0.001</f>
        <v>9101.0010000000002</v>
      </c>
      <c r="V27" s="3">
        <f>IF(AND(MIN($D$25:$D$28)=3,COUNTIFS($C$25:$C$28,C27,$J$25:$J$28,J27,$H$25:$H$28,H27,$I$25:$I$28,I27)&gt;1),1,0)</f>
        <v>0</v>
      </c>
    </row>
    <row r="28" spans="2:24" x14ac:dyDescent="0.2">
      <c r="B28" s="7" t="s">
        <v>57</v>
      </c>
      <c r="C28" s="8">
        <f>3*E28+F28</f>
        <v>3</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0</v>
      </c>
      <c r="G28" s="8">
        <f>SUMPRODUCT(($O$25:$O$30=$B$28)*ISNUMBER($P$25:$P$30)*ISNUMBER($Q$25:$Q$30)*($P$25:$P$30&lt;$Q$25:$Q$30))+SUMPRODUCT(($R$25:$R$30=$B$28)*ISNUMBER($P$25:$P$30)*ISNUMBER($Q$25:$Q$30)*($Q$25:$Q$30&lt;$P$25:$P$30))</f>
        <v>2</v>
      </c>
      <c r="H28" s="8">
        <f>SUMPRODUCT(($O$25:$O$30=$B$28)*ISNUMBER($P$25:$P$30)*ISNUMBER($Q$25:$Q$30)*$P$25:$P$30)+SUMPRODUCT(($R$25:$R$30=$B$28)*ISNUMBER($P$25:$P$30)*ISNUMBER($Q$25:$Q$30)*$Q$25:$Q$30)</f>
        <v>4</v>
      </c>
      <c r="I28" s="8">
        <f>SUMPRODUCT(($O$25:$O$30=$B$28)*ISNUMBER($P$25:$P$30)*ISNUMBER($Q$25:$Q$30)*$Q$25:$Q$30)+SUMPRODUCT(($R$25:$R$30=$B$28)*ISNUMBER($P$25:$P$30)*ISNUMBER($Q$25:$Q$30)*$P$25:$P$30)</f>
        <v>6</v>
      </c>
      <c r="J28" s="8">
        <f>H28-I28</f>
        <v>-2</v>
      </c>
      <c r="K28" s="8">
        <f>SUMPRODUCT(($U$25:$U$28&gt;U28)*1)+1</f>
        <v>3</v>
      </c>
      <c r="L28" s="9">
        <v>0</v>
      </c>
      <c r="M28" s="8">
        <v>30</v>
      </c>
      <c r="N28" s="18">
        <v>46192</v>
      </c>
      <c r="O28" s="7" t="s">
        <v>57</v>
      </c>
      <c r="P28" s="9">
        <v>1</v>
      </c>
      <c r="Q28" s="9">
        <v>2</v>
      </c>
      <c r="R28" s="7" t="s">
        <v>55</v>
      </c>
      <c r="U28" s="3">
        <f>C28*10000000+L28*100000+(J28+100)*100+H28+0*0.001</f>
        <v>30009804</v>
      </c>
      <c r="V28" s="3">
        <f>IF(AND(MIN($D$25:$D$28)=3,COUNTIFS($C$25:$C$28,C28,$J$25:$J$28,J28,$H$25:$H$28,H28,$I$25:$I$28,I28)&gt;1),1,0)</f>
        <v>0</v>
      </c>
    </row>
    <row r="29" spans="2:24" x14ac:dyDescent="0.2">
      <c r="M29" s="8">
        <v>49</v>
      </c>
      <c r="N29" s="18">
        <v>46197</v>
      </c>
      <c r="O29" s="7" t="s">
        <v>57</v>
      </c>
      <c r="P29" s="9">
        <v>0</v>
      </c>
      <c r="Q29" s="9">
        <v>3</v>
      </c>
      <c r="R29" s="7" t="s">
        <v>54</v>
      </c>
    </row>
    <row r="30" spans="2:24" x14ac:dyDescent="0.2">
      <c r="M30" s="8">
        <v>50</v>
      </c>
      <c r="N30" s="18">
        <v>46197</v>
      </c>
      <c r="O30" s="7" t="s">
        <v>55</v>
      </c>
      <c r="P30" s="9">
        <v>3</v>
      </c>
      <c r="Q30" s="9">
        <v>0</v>
      </c>
      <c r="R30" s="7"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x14ac:dyDescent="0.2">
      <c r="B34" s="7" t="s">
        <v>59</v>
      </c>
      <c r="C34" s="8">
        <f>3*E34+F34</f>
        <v>4</v>
      </c>
      <c r="D34" s="8">
        <f>SUMPRODUCT((($O$34:$O$39=$B$34)+($R$34:$R$39=$B$34))*ISNUMBER($P$34:$P$39)*ISNUMBER($Q$34:$Q$39))</f>
        <v>3</v>
      </c>
      <c r="E34" s="8">
        <f>SUMPRODUCT(($O$34:$O$39=$B$34)*ISNUMBER($P$34:$P$39)*ISNUMBER($Q$34:$Q$39)*($P$34:$P$39&gt;$Q$34:$Q$39))+SUMPRODUCT(($R$34:$R$39=$B$34)*ISNUMBER($P$34:$P$39)*ISNUMBER($Q$34:$Q$39)*($Q$34:$Q$39&gt;$P$34:$P$39))</f>
        <v>1</v>
      </c>
      <c r="F34" s="8">
        <f>SUMPRODUCT((($O$34:$O$39=$B$34)+($R$34:$R$39=$B$34))*ISNUMBER($P$34:$P$39)*ISNUMBER($Q$34:$Q$39)*($P$34:$P$39=$Q$34:$Q$39))</f>
        <v>1</v>
      </c>
      <c r="G34" s="8">
        <f>SUMPRODUCT(($O$34:$O$39=$B$34)*ISNUMBER($P$34:$P$39)*ISNUMBER($Q$34:$Q$39)*($P$34:$P$39&lt;$Q$34:$Q$39))+SUMPRODUCT(($R$34:$R$39=$B$34)*ISNUMBER($P$34:$P$39)*ISNUMBER($Q$34:$Q$39)*($Q$34:$Q$39&lt;$P$34:$P$39))</f>
        <v>1</v>
      </c>
      <c r="H34" s="8">
        <f>SUMPRODUCT(($O$34:$O$39=$B$34)*ISNUMBER($P$34:$P$39)*ISNUMBER($Q$34:$Q$39)*$P$34:$P$39)+SUMPRODUCT(($R$34:$R$39=$B$34)*ISNUMBER($P$34:$P$39)*ISNUMBER($Q$34:$Q$39)*$Q$34:$Q$39)</f>
        <v>5</v>
      </c>
      <c r="I34" s="8">
        <f>SUMPRODUCT(($O$34:$O$39=$B$34)*ISNUMBER($P$34:$P$39)*ISNUMBER($Q$34:$Q$39)*$Q$34:$Q$39)+SUMPRODUCT(($R$34:$R$39=$B$34)*ISNUMBER($P$34:$P$39)*ISNUMBER($Q$34:$Q$39)*$P$34:$P$39)</f>
        <v>5</v>
      </c>
      <c r="J34" s="8">
        <f>H34-I34</f>
        <v>0</v>
      </c>
      <c r="K34" s="8">
        <f>SUMPRODUCT(($U$34:$U$37&gt;U34)*1)+1</f>
        <v>2</v>
      </c>
      <c r="L34" s="9">
        <v>0</v>
      </c>
      <c r="M34" s="8">
        <v>4</v>
      </c>
      <c r="N34" s="18">
        <v>46185</v>
      </c>
      <c r="O34" s="7" t="s">
        <v>59</v>
      </c>
      <c r="P34" s="9">
        <v>2</v>
      </c>
      <c r="Q34" s="9">
        <v>2</v>
      </c>
      <c r="R34" s="7" t="s">
        <v>60</v>
      </c>
      <c r="U34" s="3">
        <f>C34*10000000+L34*100000+(J34+100)*100+H34+3*0.001</f>
        <v>40010005.002999999</v>
      </c>
      <c r="V34" s="3">
        <f>IF(AND(MIN($D$34:$D$37)=3,COUNTIFS($C$34:$C$37,C34,$J$34:$J$37,J34,$H$34:$H$37,H34,$I$34:$I$37,I34)&gt;1),1,0)</f>
        <v>0</v>
      </c>
    </row>
    <row r="35" spans="2:24" x14ac:dyDescent="0.2">
      <c r="B35" s="7" t="s">
        <v>60</v>
      </c>
      <c r="C35" s="8">
        <f>3*E35+F35</f>
        <v>2</v>
      </c>
      <c r="D35" s="8">
        <f>SUMPRODUCT((($O$34:$O$39=$B$35)+($R$34:$R$39=$B$35))*ISNUMBER($P$34:$P$39)*ISNUMBER($Q$34:$Q$39))</f>
        <v>3</v>
      </c>
      <c r="E35" s="8">
        <f>SUMPRODUCT(($O$34:$O$39=$B$35)*ISNUMBER($P$34:$P$39)*ISNUMBER($Q$34:$Q$39)*($P$34:$P$39&gt;$Q$34:$Q$39))+SUMPRODUCT(($R$34:$R$39=$B$35)*ISNUMBER($P$34:$P$39)*ISNUMBER($Q$34:$Q$39)*($Q$34:$Q$39&gt;$P$34:$P$39))</f>
        <v>0</v>
      </c>
      <c r="F35" s="8">
        <f>SUMPRODUCT((($O$34:$O$39=$B$35)+($R$34:$R$39=$B$35))*ISNUMBER($P$34:$P$39)*ISNUMBER($Q$34:$Q$39)*($P$34:$P$39=$Q$34:$Q$39))</f>
        <v>2</v>
      </c>
      <c r="G35" s="8">
        <f>SUMPRODUCT(($O$34:$O$39=$B$35)*ISNUMBER($P$34:$P$39)*ISNUMBER($Q$34:$Q$39)*($P$34:$P$39&lt;$Q$34:$Q$39))+SUMPRODUCT(($R$34:$R$39=$B$35)*ISNUMBER($P$34:$P$39)*ISNUMBER($Q$34:$Q$39)*($Q$34:$Q$39&lt;$P$34:$P$39))</f>
        <v>1</v>
      </c>
      <c r="H35" s="8">
        <f>SUMPRODUCT(($O$34:$O$39=$B$35)*ISNUMBER($P$34:$P$39)*ISNUMBER($Q$34:$Q$39)*$P$34:$P$39)+SUMPRODUCT(($R$34:$R$39=$B$35)*ISNUMBER($P$34:$P$39)*ISNUMBER($Q$34:$Q$39)*$Q$34:$Q$39)</f>
        <v>3</v>
      </c>
      <c r="I35" s="8">
        <f>SUMPRODUCT(($O$34:$O$39=$B$35)*ISNUMBER($P$34:$P$39)*ISNUMBER($Q$34:$Q$39)*$Q$34:$Q$39)+SUMPRODUCT(($R$34:$R$39=$B$35)*ISNUMBER($P$34:$P$39)*ISNUMBER($Q$34:$Q$39)*$P$34:$P$39)</f>
        <v>5</v>
      </c>
      <c r="J35" s="8">
        <f>H35-I35</f>
        <v>-2</v>
      </c>
      <c r="K35" s="8">
        <f>SUMPRODUCT(($U$34:$U$37&gt;U35)*1)+1</f>
        <v>3</v>
      </c>
      <c r="L35" s="9">
        <v>0</v>
      </c>
      <c r="M35" s="8">
        <v>6</v>
      </c>
      <c r="N35" s="18">
        <v>46186</v>
      </c>
      <c r="O35" s="7" t="s">
        <v>61</v>
      </c>
      <c r="P35" s="9">
        <v>0</v>
      </c>
      <c r="Q35" s="9">
        <v>2</v>
      </c>
      <c r="R35" s="7" t="s">
        <v>62</v>
      </c>
      <c r="U35" s="3">
        <f>C35*10000000+L35*100000+(J35+100)*100+H35+2*0.001</f>
        <v>20009803.002</v>
      </c>
      <c r="V35" s="3">
        <f>IF(AND(MIN($D$34:$D$37)=3,COUNTIFS($C$34:$C$37,C35,$J$34:$J$37,J35,$H$34:$H$37,H35,$I$34:$I$37,I35)&gt;1),1,0)</f>
        <v>0</v>
      </c>
    </row>
    <row r="36" spans="2:24" x14ac:dyDescent="0.2">
      <c r="B36" s="7" t="s">
        <v>61</v>
      </c>
      <c r="C36" s="8">
        <f>3*E36+F36</f>
        <v>1</v>
      </c>
      <c r="D36" s="8">
        <f>SUMPRODUCT((($O$34:$O$39=$B$36)+($R$34:$R$39=$B$36))*ISNUMBER($P$34:$P$39)*ISNUMBER($Q$34:$Q$39))</f>
        <v>3</v>
      </c>
      <c r="E36" s="8">
        <f>SUMPRODUCT(($O$34:$O$39=$B$36)*ISNUMBER($P$34:$P$39)*ISNUMBER($Q$34:$Q$39)*($P$34:$P$39&gt;$Q$34:$Q$39))+SUMPRODUCT(($R$34:$R$39=$B$36)*ISNUMBER($P$34:$P$39)*ISNUMBER($Q$34:$Q$39)*($Q$34:$Q$39&gt;$P$34:$P$39))</f>
        <v>0</v>
      </c>
      <c r="F36" s="8">
        <f>SUMPRODUCT((($O$34:$O$39=$B$36)+($R$34:$R$39=$B$36))*ISNUMBER($P$34:$P$39)*ISNUMBER($Q$34:$Q$39)*($P$34:$P$39=$Q$34:$Q$39))</f>
        <v>1</v>
      </c>
      <c r="G36" s="8">
        <f>SUMPRODUCT(($O$34:$O$39=$B$36)*ISNUMBER($P$34:$P$39)*ISNUMBER($Q$34:$Q$39)*($P$34:$P$39&lt;$Q$34:$Q$39))+SUMPRODUCT(($R$34:$R$39=$B$36)*ISNUMBER($P$34:$P$39)*ISNUMBER($Q$34:$Q$39)*($Q$34:$Q$39&lt;$P$34:$P$39))</f>
        <v>2</v>
      </c>
      <c r="H36" s="8">
        <f>SUMPRODUCT(($O$34:$O$39=$B$36)*ISNUMBER($P$34:$P$39)*ISNUMBER($Q$34:$Q$39)*$P$34:$P$39)+SUMPRODUCT(($R$34:$R$39=$B$36)*ISNUMBER($P$34:$P$39)*ISNUMBER($Q$34:$Q$39)*$Q$34:$Q$39)</f>
        <v>2</v>
      </c>
      <c r="I36" s="8">
        <f>SUMPRODUCT(($O$34:$O$39=$B$36)*ISNUMBER($P$34:$P$39)*ISNUMBER($Q$34:$Q$39)*$Q$34:$Q$39)+SUMPRODUCT(($R$34:$R$39=$B$36)*ISNUMBER($P$34:$P$39)*ISNUMBER($Q$34:$Q$39)*$P$34:$P$39)</f>
        <v>6</v>
      </c>
      <c r="J36" s="8">
        <f>H36-I36</f>
        <v>-4</v>
      </c>
      <c r="K36" s="8">
        <f>SUMPRODUCT(($U$34:$U$37&gt;U36)*1)+1</f>
        <v>4</v>
      </c>
      <c r="L36" s="9">
        <v>0</v>
      </c>
      <c r="M36" s="8">
        <v>31</v>
      </c>
      <c r="N36" s="18">
        <v>46192</v>
      </c>
      <c r="O36" s="7" t="s">
        <v>62</v>
      </c>
      <c r="P36" s="9">
        <v>2</v>
      </c>
      <c r="Q36" s="9">
        <v>0</v>
      </c>
      <c r="R36" s="7" t="s">
        <v>60</v>
      </c>
      <c r="U36" s="3">
        <f>C36*10000000+L36*100000+(J36+100)*100+H36+1*0.001</f>
        <v>10009602.001</v>
      </c>
      <c r="V36" s="3">
        <f>IF(AND(MIN($D$34:$D$37)=3,COUNTIFS($C$34:$C$37,C36,$J$34:$J$37,J36,$H$34:$H$37,H36,$I$34:$I$37,I36)&gt;1),1,0)</f>
        <v>0</v>
      </c>
    </row>
    <row r="37" spans="2:24" x14ac:dyDescent="0.2">
      <c r="B37" s="7" t="s">
        <v>62</v>
      </c>
      <c r="C37" s="8">
        <f>3*E37+F37</f>
        <v>9</v>
      </c>
      <c r="D37" s="8">
        <f>SUMPRODUCT((($O$34:$O$39=$B$37)+($R$34:$R$39=$B$37))*ISNUMBER($P$34:$P$39)*ISNUMBER($Q$34:$Q$39))</f>
        <v>3</v>
      </c>
      <c r="E37" s="8">
        <f>SUMPRODUCT(($O$34:$O$39=$B$37)*ISNUMBER($P$34:$P$39)*ISNUMBER($Q$34:$Q$39)*($P$34:$P$39&gt;$Q$34:$Q$39))+SUMPRODUCT(($R$34:$R$39=$B$37)*ISNUMBER($P$34:$P$39)*ISNUMBER($Q$34:$Q$39)*($Q$34:$Q$39&gt;$P$34:$P$39))</f>
        <v>3</v>
      </c>
      <c r="F37" s="8">
        <f>SUMPRODUCT((($O$34:$O$39=$B$37)+($R$34:$R$39=$B$37))*ISNUMBER($P$34:$P$39)*ISNUMBER($Q$34:$Q$39)*($P$34:$P$39=$Q$34:$Q$39))</f>
        <v>0</v>
      </c>
      <c r="G37" s="8">
        <f>SUMPRODUCT(($O$34:$O$39=$B$37)*ISNUMBER($P$34:$P$39)*ISNUMBER($Q$34:$Q$39)*($P$34:$P$39&lt;$Q$34:$Q$39))+SUMPRODUCT(($R$34:$R$39=$B$37)*ISNUMBER($P$34:$P$39)*ISNUMBER($Q$34:$Q$39)*($Q$34:$Q$39&lt;$P$34:$P$39))</f>
        <v>0</v>
      </c>
      <c r="H37" s="8">
        <f>SUMPRODUCT(($O$34:$O$39=$B$37)*ISNUMBER($P$34:$P$39)*ISNUMBER($Q$34:$Q$39)*$P$34:$P$39)+SUMPRODUCT(($R$34:$R$39=$B$37)*ISNUMBER($P$34:$P$39)*ISNUMBER($Q$34:$Q$39)*$Q$34:$Q$39)</f>
        <v>6</v>
      </c>
      <c r="I37" s="8">
        <f>SUMPRODUCT(($O$34:$O$39=$B$37)*ISNUMBER($P$34:$P$39)*ISNUMBER($Q$34:$Q$39)*$Q$34:$Q$39)+SUMPRODUCT(($R$34:$R$39=$B$37)*ISNUMBER($P$34:$P$39)*ISNUMBER($Q$34:$Q$39)*$P$34:$P$39)</f>
        <v>0</v>
      </c>
      <c r="J37" s="8">
        <f>H37-I37</f>
        <v>6</v>
      </c>
      <c r="K37" s="8">
        <f>SUMPRODUCT(($U$34:$U$37&gt;U37)*1)+1</f>
        <v>1</v>
      </c>
      <c r="L37" s="9">
        <v>0</v>
      </c>
      <c r="M37" s="8">
        <v>32</v>
      </c>
      <c r="N37" s="18">
        <v>46192</v>
      </c>
      <c r="O37" s="7" t="s">
        <v>59</v>
      </c>
      <c r="P37" s="9">
        <v>3</v>
      </c>
      <c r="Q37" s="9">
        <v>1</v>
      </c>
      <c r="R37" s="7" t="s">
        <v>61</v>
      </c>
      <c r="U37" s="3">
        <f>C37*10000000+L37*100000+(J37+100)*100+H37+0*0.001</f>
        <v>90010606</v>
      </c>
      <c r="V37" s="3">
        <f>IF(AND(MIN($D$34:$D$37)=3,COUNTIFS($C$34:$C$37,C37,$J$34:$J$37,J37,$H$34:$H$37,H37,$I$34:$I$37,I37)&gt;1),1,0)</f>
        <v>0</v>
      </c>
    </row>
    <row r="38" spans="2:24" x14ac:dyDescent="0.2">
      <c r="M38" s="8">
        <v>59</v>
      </c>
      <c r="N38" s="18">
        <v>46198</v>
      </c>
      <c r="O38" s="7" t="s">
        <v>62</v>
      </c>
      <c r="P38" s="9">
        <v>2</v>
      </c>
      <c r="Q38" s="9">
        <v>0</v>
      </c>
      <c r="R38" s="7" t="s">
        <v>59</v>
      </c>
    </row>
    <row r="39" spans="2:24" x14ac:dyDescent="0.2">
      <c r="M39" s="8">
        <v>60</v>
      </c>
      <c r="N39" s="18">
        <v>46198</v>
      </c>
      <c r="O39" s="7" t="s">
        <v>60</v>
      </c>
      <c r="P39" s="9">
        <v>1</v>
      </c>
      <c r="Q39" s="9">
        <v>1</v>
      </c>
      <c r="R39" s="7"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x14ac:dyDescent="0.2">
      <c r="B43" s="7" t="s">
        <v>64</v>
      </c>
      <c r="C43" s="8">
        <f>3*E43+F43</f>
        <v>9</v>
      </c>
      <c r="D43" s="8">
        <f>SUMPRODUCT((($O$43:$O$48=$B$43)+($R$43:$R$48=$B$43))*ISNUMBER($P$43:$P$48)*ISNUMBER($Q$43:$Q$48))</f>
        <v>3</v>
      </c>
      <c r="E43" s="8">
        <f>SUMPRODUCT(($O$43:$O$48=$B$43)*ISNUMBER($P$43:$P$48)*ISNUMBER($Q$43:$Q$48)*($P$43:$P$48&gt;$Q$43:$Q$48))+SUMPRODUCT(($R$43:$R$48=$B$43)*ISNUMBER($P$43:$P$48)*ISNUMBER($Q$43:$Q$48)*($Q$43:$Q$48&gt;$P$43:$P$48))</f>
        <v>3</v>
      </c>
      <c r="F43" s="8">
        <f>SUMPRODUCT((($O$43:$O$48=$B$43)+($R$43:$R$48=$B$43))*ISNUMBER($P$43:$P$48)*ISNUMBER($Q$43:$Q$48)*($P$43:$P$48=$Q$43:$Q$48))</f>
        <v>0</v>
      </c>
      <c r="G43" s="8">
        <f>SUMPRODUCT(($O$43:$O$48=$B$43)*ISNUMBER($P$43:$P$48)*ISNUMBER($Q$43:$Q$48)*($P$43:$P$48&lt;$Q$43:$Q$48))+SUMPRODUCT(($R$43:$R$48=$B$43)*ISNUMBER($P$43:$P$48)*ISNUMBER($Q$43:$Q$48)*($Q$43:$Q$48&lt;$P$43:$P$48))</f>
        <v>0</v>
      </c>
      <c r="H43" s="8">
        <f>SUMPRODUCT(($O$43:$O$48=$B$43)*ISNUMBER($P$43:$P$48)*ISNUMBER($Q$43:$Q$48)*$P$43:$P$48)+SUMPRODUCT(($R$43:$R$48=$B$43)*ISNUMBER($P$43:$P$48)*ISNUMBER($Q$43:$Q$48)*$Q$43:$Q$48)</f>
        <v>8</v>
      </c>
      <c r="I43" s="8">
        <f>SUMPRODUCT(($O$43:$O$48=$B$43)*ISNUMBER($P$43:$P$48)*ISNUMBER($Q$43:$Q$48)*$Q$43:$Q$48)+SUMPRODUCT(($R$43:$R$48=$B$43)*ISNUMBER($P$43:$P$48)*ISNUMBER($Q$43:$Q$48)*$P$43:$P$48)</f>
        <v>1</v>
      </c>
      <c r="J43" s="8">
        <f>H43-I43</f>
        <v>7</v>
      </c>
      <c r="K43" s="8">
        <f>SUMPRODUCT(($U$43:$U$46&gt;U43)*1)+1</f>
        <v>1</v>
      </c>
      <c r="L43" s="9">
        <v>0</v>
      </c>
      <c r="M43" s="8">
        <v>9</v>
      </c>
      <c r="N43" s="18">
        <v>46187</v>
      </c>
      <c r="O43" s="7" t="s">
        <v>66</v>
      </c>
      <c r="P43" s="9">
        <v>2</v>
      </c>
      <c r="Q43" s="9">
        <v>1</v>
      </c>
      <c r="R43" s="7" t="s">
        <v>67</v>
      </c>
      <c r="U43" s="3">
        <f>C43*10000000+L43*100000+(J43+100)*100+H43+3*0.001</f>
        <v>90010708.003000006</v>
      </c>
      <c r="V43" s="3">
        <f>IF(AND(MIN($D$43:$D$46)=3,COUNTIFS($C$43:$C$46,C43,$J$43:$J$46,J43,$H$43:$H$46,H43,$I$43:$I$46,I43)&gt;1),1,0)</f>
        <v>0</v>
      </c>
    </row>
    <row r="44" spans="2:24" x14ac:dyDescent="0.2">
      <c r="B44" s="7" t="s">
        <v>65</v>
      </c>
      <c r="C44" s="8">
        <f>3*E44+F44</f>
        <v>0</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0</v>
      </c>
      <c r="G44" s="8">
        <f>SUMPRODUCT(($O$43:$O$48=$B$44)*ISNUMBER($P$43:$P$48)*ISNUMBER($Q$43:$Q$48)*($P$43:$P$48&lt;$Q$43:$Q$48))+SUMPRODUCT(($R$43:$R$48=$B$44)*ISNUMBER($P$43:$P$48)*ISNUMBER($Q$43:$Q$48)*($Q$43:$Q$48&lt;$P$43:$P$48))</f>
        <v>3</v>
      </c>
      <c r="H44" s="8">
        <f>SUMPRODUCT(($O$43:$O$48=$B$44)*ISNUMBER($P$43:$P$48)*ISNUMBER($Q$43:$Q$48)*$P$43:$P$48)+SUMPRODUCT(($R$43:$R$48=$B$44)*ISNUMBER($P$43:$P$48)*ISNUMBER($Q$43:$Q$48)*$Q$43:$Q$48)</f>
        <v>1</v>
      </c>
      <c r="I44" s="8">
        <f>SUMPRODUCT(($O$43:$O$48=$B$44)*ISNUMBER($P$43:$P$48)*ISNUMBER($Q$43:$Q$48)*$Q$43:$Q$48)+SUMPRODUCT(($R$43:$R$48=$B$44)*ISNUMBER($P$43:$P$48)*ISNUMBER($Q$43:$Q$48)*$P$43:$P$48)</f>
        <v>9</v>
      </c>
      <c r="J44" s="8">
        <f>H44-I44</f>
        <v>-8</v>
      </c>
      <c r="K44" s="8">
        <f>SUMPRODUCT(($U$43:$U$46&gt;U44)*1)+1</f>
        <v>4</v>
      </c>
      <c r="L44" s="9">
        <v>0</v>
      </c>
      <c r="M44" s="8">
        <v>10</v>
      </c>
      <c r="N44" s="18">
        <v>46187</v>
      </c>
      <c r="O44" s="7" t="s">
        <v>64</v>
      </c>
      <c r="P44" s="9">
        <v>4</v>
      </c>
      <c r="Q44" s="9">
        <v>0</v>
      </c>
      <c r="R44" s="7" t="s">
        <v>65</v>
      </c>
      <c r="U44" s="3">
        <f>C44*10000000+L44*100000+(J44+100)*100+H44+2*0.001</f>
        <v>9201.0020000000004</v>
      </c>
      <c r="V44" s="3">
        <f>IF(AND(MIN($D$43:$D$46)=3,COUNTIFS($C$43:$C$46,C44,$J$43:$J$46,J44,$H$43:$H$46,H44,$I$43:$I$46,I44)&gt;1),1,0)</f>
        <v>0</v>
      </c>
    </row>
    <row r="45" spans="2:24" x14ac:dyDescent="0.2">
      <c r="B45" s="7" t="s">
        <v>66</v>
      </c>
      <c r="C45" s="8">
        <f>3*E45+F45</f>
        <v>6</v>
      </c>
      <c r="D45" s="8">
        <f>SUMPRODUCT((($O$43:$O$48=$B$45)+($R$43:$R$48=$B$45))*ISNUMBER($P$43:$P$48)*ISNUMBER($Q$43:$Q$48))</f>
        <v>3</v>
      </c>
      <c r="E45" s="8">
        <f>SUMPRODUCT(($O$43:$O$48=$B$45)*ISNUMBER($P$43:$P$48)*ISNUMBER($Q$43:$Q$48)*($P$43:$P$48&gt;$Q$43:$Q$48))+SUMPRODUCT(($R$43:$R$48=$B$45)*ISNUMBER($P$43:$P$48)*ISNUMBER($Q$43:$Q$48)*($Q$43:$Q$48&gt;$P$43:$P$48))</f>
        <v>2</v>
      </c>
      <c r="F45" s="8">
        <f>SUMPRODUCT((($O$43:$O$48=$B$45)+($R$43:$R$48=$B$45))*ISNUMBER($P$43:$P$48)*ISNUMBER($Q$43:$Q$48)*($P$43:$P$48=$Q$43:$Q$48))</f>
        <v>0</v>
      </c>
      <c r="G45" s="8">
        <f>SUMPRODUCT(($O$43:$O$48=$B$45)*ISNUMBER($P$43:$P$48)*ISNUMBER($Q$43:$Q$48)*($P$43:$P$48&lt;$Q$43:$Q$48))+SUMPRODUCT(($R$43:$R$48=$B$45)*ISNUMBER($P$43:$P$48)*ISNUMBER($Q$43:$Q$48)*($Q$43:$Q$48&lt;$P$43:$P$48))</f>
        <v>1</v>
      </c>
      <c r="H45" s="8">
        <f>SUMPRODUCT(($O$43:$O$48=$B$45)*ISNUMBER($P$43:$P$48)*ISNUMBER($Q$43:$Q$48)*$P$43:$P$48)+SUMPRODUCT(($R$43:$R$48=$B$45)*ISNUMBER($P$43:$P$48)*ISNUMBER($Q$43:$Q$48)*$Q$43:$Q$48)</f>
        <v>5</v>
      </c>
      <c r="I45" s="8">
        <f>SUMPRODUCT(($O$43:$O$48=$B$45)*ISNUMBER($P$43:$P$48)*ISNUMBER($Q$43:$Q$48)*$Q$43:$Q$48)+SUMPRODUCT(($R$43:$R$48=$B$45)*ISNUMBER($P$43:$P$48)*ISNUMBER($Q$43:$Q$48)*$P$43:$P$48)</f>
        <v>4</v>
      </c>
      <c r="J45" s="8">
        <f>H45-I45</f>
        <v>1</v>
      </c>
      <c r="K45" s="8">
        <f>SUMPRODUCT(($U$43:$U$46&gt;U45)*1)+1</f>
        <v>2</v>
      </c>
      <c r="L45" s="9">
        <v>0</v>
      </c>
      <c r="M45" s="8">
        <v>33</v>
      </c>
      <c r="N45" s="18">
        <v>46193</v>
      </c>
      <c r="O45" s="7" t="s">
        <v>64</v>
      </c>
      <c r="P45" s="9">
        <v>2</v>
      </c>
      <c r="Q45" s="9">
        <v>0</v>
      </c>
      <c r="R45" s="7" t="s">
        <v>66</v>
      </c>
      <c r="U45" s="3">
        <f>C45*10000000+L45*100000+(J45+100)*100+H45+1*0.001</f>
        <v>60010105.001000002</v>
      </c>
      <c r="V45" s="3">
        <f>IF(AND(MIN($D$43:$D$46)=3,COUNTIFS($C$43:$C$46,C45,$J$43:$J$46,J45,$H$43:$H$46,H45,$I$43:$I$46,I45)&gt;1),1,0)</f>
        <v>0</v>
      </c>
    </row>
    <row r="46" spans="2:24" x14ac:dyDescent="0.2">
      <c r="B46" s="7" t="s">
        <v>67</v>
      </c>
      <c r="C46" s="8">
        <f>3*E46+F46</f>
        <v>3</v>
      </c>
      <c r="D46" s="8">
        <f>SUMPRODUCT((($O$43:$O$48=$B$46)+($R$43:$R$48=$B$46))*ISNUMBER($P$43:$P$48)*ISNUMBER($Q$43:$Q$48))</f>
        <v>3</v>
      </c>
      <c r="E46" s="8">
        <f>SUMPRODUCT(($O$43:$O$48=$B$46)*ISNUMBER($P$43:$P$48)*ISNUMBER($Q$43:$Q$48)*($P$43:$P$48&gt;$Q$43:$Q$48))+SUMPRODUCT(($R$43:$R$48=$B$46)*ISNUMBER($P$43:$P$48)*ISNUMBER($Q$43:$Q$48)*($Q$43:$Q$48&gt;$P$43:$P$48))</f>
        <v>1</v>
      </c>
      <c r="F46" s="8">
        <f>SUMPRODUCT((($O$43:$O$48=$B$46)+($R$43:$R$48=$B$46))*ISNUMBER($P$43:$P$48)*ISNUMBER($Q$43:$Q$48)*($P$43:$P$48=$Q$43:$Q$48))</f>
        <v>0</v>
      </c>
      <c r="G46" s="8">
        <f>SUMPRODUCT(($O$43:$O$48=$B$46)*ISNUMBER($P$43:$P$48)*ISNUMBER($Q$43:$Q$48)*($P$43:$P$48&lt;$Q$43:$Q$48))+SUMPRODUCT(($R$43:$R$48=$B$46)*ISNUMBER($P$43:$P$48)*ISNUMBER($Q$43:$Q$48)*($Q$43:$Q$48&lt;$P$43:$P$48))</f>
        <v>2</v>
      </c>
      <c r="H46" s="8">
        <f>SUMPRODUCT(($O$43:$O$48=$B$46)*ISNUMBER($P$43:$P$48)*ISNUMBER($Q$43:$Q$48)*$P$43:$P$48)+SUMPRODUCT(($R$43:$R$48=$B$46)*ISNUMBER($P$43:$P$48)*ISNUMBER($Q$43:$Q$48)*$Q$43:$Q$48)</f>
        <v>4</v>
      </c>
      <c r="I46" s="8">
        <f>SUMPRODUCT(($O$43:$O$48=$B$46)*ISNUMBER($P$43:$P$48)*ISNUMBER($Q$43:$Q$48)*$Q$43:$Q$48)+SUMPRODUCT(($R$43:$R$48=$B$46)*ISNUMBER($P$43:$P$48)*ISNUMBER($Q$43:$Q$48)*$P$43:$P$48)</f>
        <v>4</v>
      </c>
      <c r="J46" s="8">
        <f>H46-I46</f>
        <v>0</v>
      </c>
      <c r="K46" s="8">
        <f>SUMPRODUCT(($U$43:$U$46&gt;U46)*1)+1</f>
        <v>3</v>
      </c>
      <c r="L46" s="9">
        <v>0</v>
      </c>
      <c r="M46" s="8">
        <v>34</v>
      </c>
      <c r="N46" s="18">
        <v>46193</v>
      </c>
      <c r="O46" s="7" t="s">
        <v>67</v>
      </c>
      <c r="P46" s="9">
        <v>2</v>
      </c>
      <c r="Q46" s="9">
        <v>0</v>
      </c>
      <c r="R46" s="7" t="s">
        <v>65</v>
      </c>
      <c r="U46" s="3">
        <f>C46*10000000+L46*100000+(J46+100)*100+H46+0*0.001</f>
        <v>30010004</v>
      </c>
      <c r="V46" s="3">
        <f>IF(AND(MIN($D$43:$D$46)=3,COUNTIFS($C$43:$C$46,C46,$J$43:$J$46,J46,$H$43:$H$46,H46,$I$43:$I$46,I46)&gt;1),1,0)</f>
        <v>0</v>
      </c>
    </row>
    <row r="47" spans="2:24" x14ac:dyDescent="0.2">
      <c r="M47" s="8">
        <v>55</v>
      </c>
      <c r="N47" s="18">
        <v>46198</v>
      </c>
      <c r="O47" s="7" t="s">
        <v>65</v>
      </c>
      <c r="P47" s="9">
        <v>1</v>
      </c>
      <c r="Q47" s="9">
        <v>3</v>
      </c>
      <c r="R47" s="7" t="s">
        <v>66</v>
      </c>
    </row>
    <row r="48" spans="2:24" x14ac:dyDescent="0.2">
      <c r="M48" s="8">
        <v>56</v>
      </c>
      <c r="N48" s="18">
        <v>46198</v>
      </c>
      <c r="O48" s="7" t="s">
        <v>67</v>
      </c>
      <c r="P48" s="9">
        <v>1</v>
      </c>
      <c r="Q48" s="9">
        <v>2</v>
      </c>
      <c r="R48" s="7"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x14ac:dyDescent="0.2">
      <c r="B52" s="7" t="s">
        <v>69</v>
      </c>
      <c r="C52" s="8">
        <f>3*E52+F52</f>
        <v>7</v>
      </c>
      <c r="D52" s="8">
        <f>SUMPRODUCT((($O$52:$O$57=$B$52)+($R$52:$R$57=$B$52))*ISNUMBER($P$52:$P$57)*ISNUMBER($Q$52:$Q$57))</f>
        <v>3</v>
      </c>
      <c r="E52" s="8">
        <f>SUMPRODUCT(($O$52:$O$57=$B$52)*ISNUMBER($P$52:$P$57)*ISNUMBER($Q$52:$Q$57)*($P$52:$P$57&gt;$Q$52:$Q$57))+SUMPRODUCT(($R$52:$R$57=$B$52)*ISNUMBER($P$52:$P$57)*ISNUMBER($Q$52:$Q$57)*($Q$52:$Q$57&gt;$P$52:$P$57))</f>
        <v>2</v>
      </c>
      <c r="F52" s="8">
        <f>SUMPRODUCT((($O$52:$O$57=$B$52)+($R$52:$R$57=$B$52))*ISNUMBER($P$52:$P$57)*ISNUMBER($Q$52:$Q$57)*($P$52:$P$57=$Q$52:$Q$57))</f>
        <v>1</v>
      </c>
      <c r="G52" s="8">
        <f>SUMPRODUCT(($O$52:$O$57=$B$52)*ISNUMBER($P$52:$P$57)*ISNUMBER($Q$52:$Q$57)*($P$52:$P$57&lt;$Q$52:$Q$57))+SUMPRODUCT(($R$52:$R$57=$B$52)*ISNUMBER($P$52:$P$57)*ISNUMBER($Q$52:$Q$57)*($Q$52:$Q$57&lt;$P$52:$P$57))</f>
        <v>0</v>
      </c>
      <c r="H52" s="8">
        <f>SUMPRODUCT(($O$52:$O$57=$B$52)*ISNUMBER($P$52:$P$57)*ISNUMBER($Q$52:$Q$57)*$P$52:$P$57)+SUMPRODUCT(($R$52:$R$57=$B$52)*ISNUMBER($P$52:$P$57)*ISNUMBER($Q$52:$Q$57)*$Q$52:$Q$57)</f>
        <v>5</v>
      </c>
      <c r="I52" s="8">
        <f>SUMPRODUCT(($O$52:$O$57=$B$52)*ISNUMBER($P$52:$P$57)*ISNUMBER($Q$52:$Q$57)*$Q$52:$Q$57)+SUMPRODUCT(($R$52:$R$57=$B$52)*ISNUMBER($P$52:$P$57)*ISNUMBER($Q$52:$Q$57)*$P$52:$P$57)</f>
        <v>2</v>
      </c>
      <c r="J52" s="8">
        <f>H52-I52</f>
        <v>3</v>
      </c>
      <c r="K52" s="8">
        <f>SUMPRODUCT(($U$52:$U$55&gt;U52)*1)+1</f>
        <v>1</v>
      </c>
      <c r="L52" s="9">
        <v>0</v>
      </c>
      <c r="M52" s="8">
        <v>11</v>
      </c>
      <c r="N52" s="18">
        <v>46187</v>
      </c>
      <c r="O52" s="7" t="s">
        <v>69</v>
      </c>
      <c r="P52" s="9">
        <v>1</v>
      </c>
      <c r="Q52" s="9">
        <v>1</v>
      </c>
      <c r="R52" s="7" t="s">
        <v>70</v>
      </c>
      <c r="U52" s="3">
        <f>C52*10000000+L52*100000+(J52+100)*100+H52+3*0.001</f>
        <v>70010305.003000006</v>
      </c>
      <c r="V52" s="3">
        <f>IF(AND(MIN($D$52:$D$55)=3,COUNTIFS($C$52:$C$55,C52,$J$52:$J$55,J52,$H$52:$H$55,H52,$I$52:$I$55,I52)&gt;1),1,0)</f>
        <v>0</v>
      </c>
    </row>
    <row r="53" spans="2:24" x14ac:dyDescent="0.2">
      <c r="B53" s="7" t="s">
        <v>70</v>
      </c>
      <c r="C53" s="8">
        <f>3*E53+F53</f>
        <v>4</v>
      </c>
      <c r="D53" s="8">
        <f>SUMPRODUCT((($O$52:$O$57=$B$53)+($R$52:$R$57=$B$53))*ISNUMBER($P$52:$P$57)*ISNUMBER($Q$52:$Q$57))</f>
        <v>3</v>
      </c>
      <c r="E53" s="8">
        <f>SUMPRODUCT(($O$52:$O$57=$B$53)*ISNUMBER($P$52:$P$57)*ISNUMBER($Q$52:$Q$57)*($P$52:$P$57&gt;$Q$52:$Q$57))+SUMPRODUCT(($R$52:$R$57=$B$53)*ISNUMBER($P$52:$P$57)*ISNUMBER($Q$52:$Q$57)*($Q$52:$Q$57&gt;$P$52:$P$57))</f>
        <v>1</v>
      </c>
      <c r="F53" s="8">
        <f>SUMPRODUCT((($O$52:$O$57=$B$53)+($R$52:$R$57=$B$53))*ISNUMBER($P$52:$P$57)*ISNUMBER($Q$52:$Q$57)*($P$52:$P$57=$Q$52:$Q$57))</f>
        <v>1</v>
      </c>
      <c r="G53" s="8">
        <f>SUMPRODUCT(($O$52:$O$57=$B$53)*ISNUMBER($P$52:$P$57)*ISNUMBER($Q$52:$Q$57)*($P$52:$P$57&lt;$Q$52:$Q$57))+SUMPRODUCT(($R$52:$R$57=$B$53)*ISNUMBER($P$52:$P$57)*ISNUMBER($Q$52:$Q$57)*($Q$52:$Q$57&lt;$P$52:$P$57))</f>
        <v>1</v>
      </c>
      <c r="H53" s="8">
        <f>SUMPRODUCT(($O$52:$O$57=$B$53)*ISNUMBER($P$52:$P$57)*ISNUMBER($Q$52:$Q$57)*$P$52:$P$57)+SUMPRODUCT(($R$52:$R$57=$B$53)*ISNUMBER($P$52:$P$57)*ISNUMBER($Q$52:$Q$57)*$Q$52:$Q$57)</f>
        <v>4</v>
      </c>
      <c r="I53" s="8">
        <f>SUMPRODUCT(($O$52:$O$57=$B$53)*ISNUMBER($P$52:$P$57)*ISNUMBER($Q$52:$Q$57)*$Q$52:$Q$57)+SUMPRODUCT(($R$52:$R$57=$B$53)*ISNUMBER($P$52:$P$57)*ISNUMBER($Q$52:$Q$57)*$P$52:$P$57)</f>
        <v>5</v>
      </c>
      <c r="J53" s="8">
        <f>H53-I53</f>
        <v>-1</v>
      </c>
      <c r="K53" s="8">
        <f>SUMPRODUCT(($U$52:$U$55&gt;U53)*1)+1</f>
        <v>3</v>
      </c>
      <c r="L53" s="9">
        <v>0</v>
      </c>
      <c r="M53" s="8">
        <v>12</v>
      </c>
      <c r="N53" s="18">
        <v>46187</v>
      </c>
      <c r="O53" s="7" t="s">
        <v>72</v>
      </c>
      <c r="P53" s="9">
        <v>2</v>
      </c>
      <c r="Q53" s="9">
        <v>2</v>
      </c>
      <c r="R53" s="7" t="s">
        <v>71</v>
      </c>
      <c r="U53" s="3">
        <f>C53*10000000+L53*100000+(J53+100)*100+H53+2*0.001</f>
        <v>40009904.001999997</v>
      </c>
      <c r="V53" s="3">
        <f>IF(AND(MIN($D$52:$D$55)=3,COUNTIFS($C$52:$C$55,C53,$J$52:$J$55,J53,$H$52:$H$55,H53,$I$52:$I$55,I53)&gt;1),1,0)</f>
        <v>0</v>
      </c>
    </row>
    <row r="54" spans="2:24" x14ac:dyDescent="0.2">
      <c r="B54" s="7" t="s">
        <v>71</v>
      </c>
      <c r="C54" s="8">
        <f>3*E54+F54</f>
        <v>1</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1</v>
      </c>
      <c r="G54" s="8">
        <f>SUMPRODUCT(($O$52:$O$57=$B$54)*ISNUMBER($P$52:$P$57)*ISNUMBER($Q$52:$Q$57)*($P$52:$P$57&lt;$Q$52:$Q$57))+SUMPRODUCT(($R$52:$R$57=$B$54)*ISNUMBER($P$52:$P$57)*ISNUMBER($Q$52:$Q$57)*($Q$52:$Q$57&lt;$P$52:$P$57))</f>
        <v>2</v>
      </c>
      <c r="H54" s="8">
        <f>SUMPRODUCT(($O$52:$O$57=$B$54)*ISNUMBER($P$52:$P$57)*ISNUMBER($Q$52:$Q$57)*$P$52:$P$57)+SUMPRODUCT(($R$52:$R$57=$B$54)*ISNUMBER($P$52:$P$57)*ISNUMBER($Q$52:$Q$57)*$Q$52:$Q$57)</f>
        <v>3</v>
      </c>
      <c r="I54" s="8">
        <f>SUMPRODUCT(($O$52:$O$57=$B$54)*ISNUMBER($P$52:$P$57)*ISNUMBER($Q$52:$Q$57)*$Q$52:$Q$57)+SUMPRODUCT(($R$52:$R$57=$B$54)*ISNUMBER($P$52:$P$57)*ISNUMBER($Q$52:$Q$57)*$P$52:$P$57)</f>
        <v>6</v>
      </c>
      <c r="J54" s="8">
        <f>H54-I54</f>
        <v>-3</v>
      </c>
      <c r="K54" s="8">
        <f>SUMPRODUCT(($U$52:$U$55&gt;U54)*1)+1</f>
        <v>4</v>
      </c>
      <c r="L54" s="9">
        <v>0</v>
      </c>
      <c r="M54" s="8">
        <v>35</v>
      </c>
      <c r="N54" s="18">
        <v>46193</v>
      </c>
      <c r="O54" s="7" t="s">
        <v>69</v>
      </c>
      <c r="P54" s="9">
        <v>2</v>
      </c>
      <c r="Q54" s="9">
        <v>1</v>
      </c>
      <c r="R54" s="7" t="s">
        <v>72</v>
      </c>
      <c r="U54" s="3">
        <f>C54*10000000+L54*100000+(J54+100)*100+H54+1*0.001</f>
        <v>10009703.001</v>
      </c>
      <c r="V54" s="3">
        <f>IF(AND(MIN($D$52:$D$55)=3,COUNTIFS($C$52:$C$55,C54,$J$52:$J$55,J54,$H$52:$H$55,H54,$I$52:$I$55,I54)&gt;1),1,0)</f>
        <v>0</v>
      </c>
    </row>
    <row r="55" spans="2:24" x14ac:dyDescent="0.2">
      <c r="B55" s="7" t="s">
        <v>72</v>
      </c>
      <c r="C55" s="8">
        <f>3*E55+F55</f>
        <v>4</v>
      </c>
      <c r="D55" s="8">
        <f>SUMPRODUCT((($O$52:$O$57=$B$55)+($R$52:$R$57=$B$55))*ISNUMBER($P$52:$P$57)*ISNUMBER($Q$52:$Q$57))</f>
        <v>3</v>
      </c>
      <c r="E55" s="8">
        <f>SUMPRODUCT(($O$52:$O$57=$B$55)*ISNUMBER($P$52:$P$57)*ISNUMBER($Q$52:$Q$57)*($P$52:$P$57&gt;$Q$52:$Q$57))+SUMPRODUCT(($R$52:$R$57=$B$55)*ISNUMBER($P$52:$P$57)*ISNUMBER($Q$52:$Q$57)*($Q$52:$Q$57&gt;$P$52:$P$57))</f>
        <v>1</v>
      </c>
      <c r="F55" s="8">
        <f>SUMPRODUCT((($O$52:$O$57=$B$55)+($R$52:$R$57=$B$55))*ISNUMBER($P$52:$P$57)*ISNUMBER($Q$52:$Q$57)*($P$52:$P$57=$Q$52:$Q$57))</f>
        <v>1</v>
      </c>
      <c r="G55" s="8">
        <f>SUMPRODUCT(($O$52:$O$57=$B$55)*ISNUMBER($P$52:$P$57)*ISNUMBER($Q$52:$Q$57)*($P$52:$P$57&lt;$Q$52:$Q$57))+SUMPRODUCT(($R$52:$R$57=$B$55)*ISNUMBER($P$52:$P$57)*ISNUMBER($Q$52:$Q$57)*($Q$52:$Q$57&lt;$P$52:$P$57))</f>
        <v>1</v>
      </c>
      <c r="H55" s="8">
        <f>SUMPRODUCT(($O$52:$O$57=$B$55)*ISNUMBER($P$52:$P$57)*ISNUMBER($Q$52:$Q$57)*$P$52:$P$57)+SUMPRODUCT(($R$52:$R$57=$B$55)*ISNUMBER($P$52:$P$57)*ISNUMBER($Q$52:$Q$57)*$Q$52:$Q$57)</f>
        <v>6</v>
      </c>
      <c r="I55" s="8">
        <f>SUMPRODUCT(($O$52:$O$57=$B$55)*ISNUMBER($P$52:$P$57)*ISNUMBER($Q$52:$Q$57)*$Q$52:$Q$57)+SUMPRODUCT(($R$52:$R$57=$B$55)*ISNUMBER($P$52:$P$57)*ISNUMBER($Q$52:$Q$57)*$P$52:$P$57)</f>
        <v>5</v>
      </c>
      <c r="J55" s="8">
        <f>H55-I55</f>
        <v>1</v>
      </c>
      <c r="K55" s="8">
        <f>SUMPRODUCT(($U$52:$U$55&gt;U55)*1)+1</f>
        <v>2</v>
      </c>
      <c r="L55" s="9">
        <v>0</v>
      </c>
      <c r="M55" s="8">
        <v>36</v>
      </c>
      <c r="N55" s="18">
        <v>46193</v>
      </c>
      <c r="O55" s="7" t="s">
        <v>71</v>
      </c>
      <c r="P55" s="9">
        <v>1</v>
      </c>
      <c r="Q55" s="9">
        <v>2</v>
      </c>
      <c r="R55" s="7" t="s">
        <v>70</v>
      </c>
      <c r="U55" s="3">
        <f>C55*10000000+L55*100000+(J55+100)*100+H55+0*0.001</f>
        <v>40010106</v>
      </c>
      <c r="V55" s="3">
        <f>IF(AND(MIN($D$52:$D$55)=3,COUNTIFS($C$52:$C$55,C55,$J$52:$J$55,J55,$H$52:$H$55,H55,$I$52:$I$55,I55)&gt;1),1,0)</f>
        <v>0</v>
      </c>
    </row>
    <row r="56" spans="2:24" x14ac:dyDescent="0.2">
      <c r="M56" s="8">
        <v>57</v>
      </c>
      <c r="N56" s="18">
        <v>46198</v>
      </c>
      <c r="O56" s="7" t="s">
        <v>70</v>
      </c>
      <c r="P56" s="9">
        <v>1</v>
      </c>
      <c r="Q56" s="9">
        <v>3</v>
      </c>
      <c r="R56" s="7" t="s">
        <v>72</v>
      </c>
    </row>
    <row r="57" spans="2:24" x14ac:dyDescent="0.2">
      <c r="M57" s="8">
        <v>58</v>
      </c>
      <c r="N57" s="18">
        <v>46198</v>
      </c>
      <c r="O57" s="7" t="s">
        <v>71</v>
      </c>
      <c r="P57" s="9">
        <v>0</v>
      </c>
      <c r="Q57" s="9">
        <v>2</v>
      </c>
      <c r="R57" s="7"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x14ac:dyDescent="0.2">
      <c r="B61" s="7" t="s">
        <v>74</v>
      </c>
      <c r="C61" s="8">
        <f>3*E61+F61</f>
        <v>7</v>
      </c>
      <c r="D61" s="8">
        <f>SUMPRODUCT((($O$61:$O$66=$B$61)+($R$61:$R$66=$B$61))*ISNUMBER($P$61:$P$66)*ISNUMBER($Q$61:$Q$66))</f>
        <v>3</v>
      </c>
      <c r="E61" s="8">
        <f>SUMPRODUCT(($O$61:$O$66=$B$61)*ISNUMBER($P$61:$P$66)*ISNUMBER($Q$61:$Q$66)*($P$61:$P$66&gt;$Q$61:$Q$66))+SUMPRODUCT(($R$61:$R$66=$B$61)*ISNUMBER($P$61:$P$66)*ISNUMBER($Q$61:$Q$66)*($Q$61:$Q$66&gt;$P$61:$P$66))</f>
        <v>2</v>
      </c>
      <c r="F61" s="8">
        <f>SUMPRODUCT((($O$61:$O$66=$B$61)+($R$61:$R$66=$B$61))*ISNUMBER($P$61:$P$66)*ISNUMBER($Q$61:$Q$66)*($P$61:$P$66=$Q$61:$Q$66))</f>
        <v>1</v>
      </c>
      <c r="G61" s="8">
        <f>SUMPRODUCT(($O$61:$O$66=$B$61)*ISNUMBER($P$61:$P$66)*ISNUMBER($Q$61:$Q$66)*($P$61:$P$66&lt;$Q$61:$Q$66))+SUMPRODUCT(($R$61:$R$66=$B$61)*ISNUMBER($P$61:$P$66)*ISNUMBER($Q$61:$Q$66)*($Q$61:$Q$66&lt;$P$61:$P$66))</f>
        <v>0</v>
      </c>
      <c r="H61" s="8">
        <f>SUMPRODUCT(($O$61:$O$66=$B$61)*ISNUMBER($P$61:$P$66)*ISNUMBER($Q$61:$Q$66)*$P$61:$P$66)+SUMPRODUCT(($R$61:$R$66=$B$61)*ISNUMBER($P$61:$P$66)*ISNUMBER($Q$61:$Q$66)*$Q$61:$Q$66)</f>
        <v>6</v>
      </c>
      <c r="I61" s="8">
        <f>SUMPRODUCT(($O$61:$O$66=$B$61)*ISNUMBER($P$61:$P$66)*ISNUMBER($Q$61:$Q$66)*$Q$61:$Q$66)+SUMPRODUCT(($R$61:$R$66=$B$61)*ISNUMBER($P$61:$P$66)*ISNUMBER($Q$61:$Q$66)*$P$61:$P$66)</f>
        <v>2</v>
      </c>
      <c r="J61" s="8">
        <f>H61-I61</f>
        <v>4</v>
      </c>
      <c r="K61" s="8">
        <f>SUMPRODUCT(($U$61:$U$64&gt;U61)*1)+1</f>
        <v>1</v>
      </c>
      <c r="L61" s="9">
        <v>0</v>
      </c>
      <c r="M61" s="8">
        <v>15</v>
      </c>
      <c r="N61" s="18">
        <v>46188</v>
      </c>
      <c r="O61" s="7" t="s">
        <v>76</v>
      </c>
      <c r="P61" s="9">
        <v>2</v>
      </c>
      <c r="Q61" s="9">
        <v>0</v>
      </c>
      <c r="R61" s="7" t="s">
        <v>77</v>
      </c>
      <c r="U61" s="3">
        <f>C61*10000000+L61*100000+(J61+100)*100+H61+3*0.001</f>
        <v>70010406.003000006</v>
      </c>
      <c r="V61" s="3">
        <f>IF(AND(MIN($D$61:$D$64)=3,COUNTIFS($C$61:$C$64,C61,$J$61:$J$64,J61,$H$61:$H$64,H61,$I$61:$I$64,I61)&gt;1),1,0)</f>
        <v>0</v>
      </c>
    </row>
    <row r="62" spans="2:24" x14ac:dyDescent="0.2">
      <c r="B62" s="7" t="s">
        <v>75</v>
      </c>
      <c r="C62" s="8">
        <f>3*E62+F62</f>
        <v>7</v>
      </c>
      <c r="D62" s="8">
        <f>SUMPRODUCT((($O$61:$O$66=$B$62)+($R$61:$R$66=$B$62))*ISNUMBER($P$61:$P$66)*ISNUMBER($Q$61:$Q$66))</f>
        <v>3</v>
      </c>
      <c r="E62" s="8">
        <f>SUMPRODUCT(($O$61:$O$66=$B$62)*ISNUMBER($P$61:$P$66)*ISNUMBER($Q$61:$Q$66)*($P$61:$P$66&gt;$Q$61:$Q$66))+SUMPRODUCT(($R$61:$R$66=$B$62)*ISNUMBER($P$61:$P$66)*ISNUMBER($Q$61:$Q$66)*($Q$61:$Q$66&gt;$P$61:$P$66))</f>
        <v>2</v>
      </c>
      <c r="F62" s="8">
        <f>SUMPRODUCT((($O$61:$O$66=$B$62)+($R$61:$R$66=$B$62))*ISNUMBER($P$61:$P$66)*ISNUMBER($Q$61:$Q$66)*($P$61:$P$66=$Q$61:$Q$66))</f>
        <v>1</v>
      </c>
      <c r="G62" s="8">
        <f>SUMPRODUCT(($O$61:$O$66=$B$62)*ISNUMBER($P$61:$P$66)*ISNUMBER($Q$61:$Q$66)*($P$61:$P$66&lt;$Q$61:$Q$66))+SUMPRODUCT(($R$61:$R$66=$B$62)*ISNUMBER($P$61:$P$66)*ISNUMBER($Q$61:$Q$66)*($Q$61:$Q$66&lt;$P$61:$P$66))</f>
        <v>0</v>
      </c>
      <c r="H62" s="8">
        <f>SUMPRODUCT(($O$61:$O$66=$B$62)*ISNUMBER($P$61:$P$66)*ISNUMBER($Q$61:$Q$66)*$P$61:$P$66)+SUMPRODUCT(($R$61:$R$66=$B$62)*ISNUMBER($P$61:$P$66)*ISNUMBER($Q$61:$Q$66)*$Q$61:$Q$66)</f>
        <v>5</v>
      </c>
      <c r="I62" s="8">
        <f>SUMPRODUCT(($O$61:$O$66=$B$62)*ISNUMBER($P$61:$P$66)*ISNUMBER($Q$61:$Q$66)*$Q$61:$Q$66)+SUMPRODUCT(($R$61:$R$66=$B$62)*ISNUMBER($P$61:$P$66)*ISNUMBER($Q$61:$Q$66)*$P$61:$P$66)</f>
        <v>2</v>
      </c>
      <c r="J62" s="8">
        <f>H62-I62</f>
        <v>3</v>
      </c>
      <c r="K62" s="8">
        <f>SUMPRODUCT(($U$61:$U$64&gt;U62)*1)+1</f>
        <v>2</v>
      </c>
      <c r="L62" s="9">
        <v>0</v>
      </c>
      <c r="M62" s="8">
        <v>16</v>
      </c>
      <c r="N62" s="18">
        <v>46188</v>
      </c>
      <c r="O62" s="7" t="s">
        <v>74</v>
      </c>
      <c r="P62" s="9">
        <v>1</v>
      </c>
      <c r="Q62" s="9">
        <v>1</v>
      </c>
      <c r="R62" s="7" t="s">
        <v>75</v>
      </c>
      <c r="U62" s="3">
        <f>C62*10000000+L62*100000+(J62+100)*100+H62+2*0.001</f>
        <v>70010305.002000004</v>
      </c>
      <c r="V62" s="3">
        <f>IF(AND(MIN($D$61:$D$64)=3,COUNTIFS($C$61:$C$64,C62,$J$61:$J$64,J62,$H$61:$H$64,H62,$I$61:$I$64,I62)&gt;1),1,0)</f>
        <v>0</v>
      </c>
    </row>
    <row r="63" spans="2:24" x14ac:dyDescent="0.2">
      <c r="B63" s="7" t="s">
        <v>76</v>
      </c>
      <c r="C63" s="8">
        <f>3*E63+F63</f>
        <v>3</v>
      </c>
      <c r="D63" s="8">
        <f>SUMPRODUCT((($O$61:$O$66=$B$63)+($R$61:$R$66=$B$63))*ISNUMBER($P$61:$P$66)*ISNUMBER($Q$61:$Q$66))</f>
        <v>3</v>
      </c>
      <c r="E63" s="8">
        <f>SUMPRODUCT(($O$61:$O$66=$B$63)*ISNUMBER($P$61:$P$66)*ISNUMBER($Q$61:$Q$66)*($P$61:$P$66&gt;$Q$61:$Q$66))+SUMPRODUCT(($R$61:$R$66=$B$63)*ISNUMBER($P$61:$P$66)*ISNUMBER($Q$61:$Q$66)*($Q$61:$Q$66&gt;$P$61:$P$66))</f>
        <v>1</v>
      </c>
      <c r="F63" s="8">
        <f>SUMPRODUCT((($O$61:$O$66=$B$63)+($R$61:$R$66=$B$63))*ISNUMBER($P$61:$P$66)*ISNUMBER($Q$61:$Q$66)*($P$61:$P$66=$Q$61:$Q$66))</f>
        <v>0</v>
      </c>
      <c r="G63" s="8">
        <f>SUMPRODUCT(($O$61:$O$66=$B$63)*ISNUMBER($P$61:$P$66)*ISNUMBER($Q$61:$Q$66)*($P$61:$P$66&lt;$Q$61:$Q$66))+SUMPRODUCT(($R$61:$R$66=$B$63)*ISNUMBER($P$61:$P$66)*ISNUMBER($Q$61:$Q$66)*($Q$61:$Q$66&lt;$P$61:$P$66))</f>
        <v>2</v>
      </c>
      <c r="H63" s="8">
        <f>SUMPRODUCT(($O$61:$O$66=$B$63)*ISNUMBER($P$61:$P$66)*ISNUMBER($Q$61:$Q$66)*$P$61:$P$66)+SUMPRODUCT(($R$61:$R$66=$B$63)*ISNUMBER($P$61:$P$66)*ISNUMBER($Q$61:$Q$66)*$Q$61:$Q$66)</f>
        <v>4</v>
      </c>
      <c r="I63" s="8">
        <f>SUMPRODUCT(($O$61:$O$66=$B$63)*ISNUMBER($P$61:$P$66)*ISNUMBER($Q$61:$Q$66)*$Q$61:$Q$66)+SUMPRODUCT(($R$61:$R$66=$B$63)*ISNUMBER($P$61:$P$66)*ISNUMBER($Q$61:$Q$66)*$P$61:$P$66)</f>
        <v>4</v>
      </c>
      <c r="J63" s="8">
        <f>H63-I63</f>
        <v>0</v>
      </c>
      <c r="K63" s="8">
        <f>SUMPRODUCT(($U$61:$U$64&gt;U63)*1)+1</f>
        <v>3</v>
      </c>
      <c r="L63" s="9">
        <v>0</v>
      </c>
      <c r="M63" s="8">
        <v>39</v>
      </c>
      <c r="N63" s="18">
        <v>46194</v>
      </c>
      <c r="O63" s="7" t="s">
        <v>74</v>
      </c>
      <c r="P63" s="9">
        <v>2</v>
      </c>
      <c r="Q63" s="9">
        <v>1</v>
      </c>
      <c r="R63" s="7" t="s">
        <v>76</v>
      </c>
      <c r="U63" s="3">
        <f>C63*10000000+L63*100000+(J63+100)*100+H63+1*0.001</f>
        <v>30010004.000999998</v>
      </c>
      <c r="V63" s="3">
        <f>IF(AND(MIN($D$61:$D$64)=3,COUNTIFS($C$61:$C$64,C63,$J$61:$J$64,J63,$H$61:$H$64,H63,$I$61:$I$64,I63)&gt;1),1,0)</f>
        <v>0</v>
      </c>
    </row>
    <row r="64" spans="2:24" x14ac:dyDescent="0.2">
      <c r="B64" s="7" t="s">
        <v>77</v>
      </c>
      <c r="C64" s="8">
        <f>3*E64+F64</f>
        <v>0</v>
      </c>
      <c r="D64" s="8">
        <f>SUMPRODUCT((($O$61:$O$66=$B$64)+($R$61:$R$66=$B$64))*ISNUMBER($P$61:$P$66)*ISNUMBER($Q$61:$Q$66))</f>
        <v>3</v>
      </c>
      <c r="E64" s="8">
        <f>SUMPRODUCT(($O$61:$O$66=$B$64)*ISNUMBER($P$61:$P$66)*ISNUMBER($Q$61:$Q$66)*($P$61:$P$66&gt;$Q$61:$Q$66))+SUMPRODUCT(($R$61:$R$66=$B$64)*ISNUMBER($P$61:$P$66)*ISNUMBER($Q$61:$Q$66)*($Q$61:$Q$66&gt;$P$61:$P$66))</f>
        <v>0</v>
      </c>
      <c r="F64" s="8">
        <f>SUMPRODUCT((($O$61:$O$66=$B$64)+($R$61:$R$66=$B$64))*ISNUMBER($P$61:$P$66)*ISNUMBER($Q$61:$Q$66)*($P$61:$P$66=$Q$61:$Q$66))</f>
        <v>0</v>
      </c>
      <c r="G64" s="8">
        <f>SUMPRODUCT(($O$61:$O$66=$B$64)*ISNUMBER($P$61:$P$66)*ISNUMBER($Q$61:$Q$66)*($P$61:$P$66&lt;$Q$61:$Q$66))+SUMPRODUCT(($R$61:$R$66=$B$64)*ISNUMBER($P$61:$P$66)*ISNUMBER($Q$61:$Q$66)*($Q$61:$Q$66&lt;$P$61:$P$66))</f>
        <v>3</v>
      </c>
      <c r="H64" s="8">
        <f>SUMPRODUCT(($O$61:$O$66=$B$64)*ISNUMBER($P$61:$P$66)*ISNUMBER($Q$61:$Q$66)*$P$61:$P$66)+SUMPRODUCT(($R$61:$R$66=$B$64)*ISNUMBER($P$61:$P$66)*ISNUMBER($Q$61:$Q$66)*$Q$61:$Q$66)</f>
        <v>0</v>
      </c>
      <c r="I64" s="8">
        <f>SUMPRODUCT(($O$61:$O$66=$B$64)*ISNUMBER($P$61:$P$66)*ISNUMBER($Q$61:$Q$66)*$Q$61:$Q$66)+SUMPRODUCT(($R$61:$R$66=$B$64)*ISNUMBER($P$61:$P$66)*ISNUMBER($Q$61:$Q$66)*$P$61:$P$66)</f>
        <v>7</v>
      </c>
      <c r="J64" s="8">
        <f>H64-I64</f>
        <v>-7</v>
      </c>
      <c r="K64" s="8">
        <f>SUMPRODUCT(($U$61:$U$64&gt;U64)*1)+1</f>
        <v>4</v>
      </c>
      <c r="L64" s="9">
        <v>0</v>
      </c>
      <c r="M64" s="8">
        <v>40</v>
      </c>
      <c r="N64" s="18">
        <v>46194</v>
      </c>
      <c r="O64" s="7" t="s">
        <v>77</v>
      </c>
      <c r="P64" s="9">
        <v>0</v>
      </c>
      <c r="Q64" s="9">
        <v>2</v>
      </c>
      <c r="R64" s="7" t="s">
        <v>75</v>
      </c>
      <c r="U64" s="3">
        <f>C64*10000000+L64*100000+(J64+100)*100+H64+0*0.001</f>
        <v>9300</v>
      </c>
      <c r="V64" s="3">
        <f>IF(AND(MIN($D$61:$D$64)=3,COUNTIFS($C$61:$C$64,C64,$J$61:$J$64,J64,$H$61:$H$64,H64,$I$61:$I$64,I64)&gt;1),1,0)</f>
        <v>0</v>
      </c>
    </row>
    <row r="65" spans="2:24" x14ac:dyDescent="0.2">
      <c r="M65" s="8">
        <v>63</v>
      </c>
      <c r="N65" s="18">
        <v>46199</v>
      </c>
      <c r="O65" s="7" t="s">
        <v>75</v>
      </c>
      <c r="P65" s="9">
        <v>2</v>
      </c>
      <c r="Q65" s="9">
        <v>1</v>
      </c>
      <c r="R65" s="7" t="s">
        <v>76</v>
      </c>
    </row>
    <row r="66" spans="2:24" x14ac:dyDescent="0.2">
      <c r="M66" s="8">
        <v>64</v>
      </c>
      <c r="N66" s="18">
        <v>46199</v>
      </c>
      <c r="O66" s="7" t="s">
        <v>77</v>
      </c>
      <c r="P66" s="9">
        <v>0</v>
      </c>
      <c r="Q66" s="9">
        <v>3</v>
      </c>
      <c r="R66" s="7"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x14ac:dyDescent="0.2">
      <c r="B70" s="7" t="s">
        <v>79</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9</v>
      </c>
      <c r="I70" s="8">
        <f>SUMPRODUCT(($O$70:$O$75=$B$70)*ISNUMBER($P$70:$P$75)*ISNUMBER($Q$70:$Q$75)*$Q$70:$Q$75)+SUMPRODUCT(($R$70:$R$75=$B$70)*ISNUMBER($P$70:$P$75)*ISNUMBER($Q$70:$Q$75)*$P$70:$P$75)</f>
        <v>2</v>
      </c>
      <c r="J70" s="8">
        <f>H70-I70</f>
        <v>7</v>
      </c>
      <c r="K70" s="8">
        <f>SUMPRODUCT(($U$70:$U$73&gt;U70)*1)+1</f>
        <v>1</v>
      </c>
      <c r="L70" s="9">
        <v>0</v>
      </c>
      <c r="M70" s="8">
        <v>13</v>
      </c>
      <c r="N70" s="18">
        <v>46188</v>
      </c>
      <c r="O70" s="7" t="s">
        <v>81</v>
      </c>
      <c r="P70" s="9">
        <v>0</v>
      </c>
      <c r="Q70" s="9">
        <v>2</v>
      </c>
      <c r="R70" s="7" t="s">
        <v>82</v>
      </c>
      <c r="U70" s="3">
        <f>C70*10000000+L70*100000+(J70+100)*100+H70+3*0.001</f>
        <v>90010709.003000006</v>
      </c>
      <c r="V70" s="3">
        <f>IF(AND(MIN($D$70:$D$73)=3,COUNTIFS($C$70:$C$73,C70,$J$70:$J$73,J70,$H$70:$H$73,H70,$I$70:$I$73,I70)&gt;1),1,0)</f>
        <v>0</v>
      </c>
    </row>
    <row r="71" spans="2:24" x14ac:dyDescent="0.2">
      <c r="B71" s="7" t="s">
        <v>80</v>
      </c>
      <c r="C71" s="8">
        <f>3*E71+F71</f>
        <v>0</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0</v>
      </c>
      <c r="G71" s="8">
        <f>SUMPRODUCT(($O$70:$O$75=$B$71)*ISNUMBER($P$70:$P$75)*ISNUMBER($Q$70:$Q$75)*($P$70:$P$75&lt;$Q$70:$Q$75))+SUMPRODUCT(($R$70:$R$75=$B$71)*ISNUMBER($P$70:$P$75)*ISNUMBER($Q$70:$Q$75)*($Q$70:$Q$75&lt;$P$70:$P$75))</f>
        <v>3</v>
      </c>
      <c r="H71" s="8">
        <f>SUMPRODUCT(($O$70:$O$75=$B$71)*ISNUMBER($P$70:$P$75)*ISNUMBER($Q$70:$Q$75)*$P$70:$P$75)+SUMPRODUCT(($R$70:$R$75=$B$71)*ISNUMBER($P$70:$P$75)*ISNUMBER($Q$70:$Q$75)*$Q$70:$Q$75)</f>
        <v>1</v>
      </c>
      <c r="I71" s="8">
        <f>SUMPRODUCT(($O$70:$O$75=$B$71)*ISNUMBER($P$70:$P$75)*ISNUMBER($Q$70:$Q$75)*$Q$70:$Q$75)+SUMPRODUCT(($R$70:$R$75=$B$71)*ISNUMBER($P$70:$P$75)*ISNUMBER($Q$70:$Q$75)*$P$70:$P$75)</f>
        <v>9</v>
      </c>
      <c r="J71" s="8">
        <f>H71-I71</f>
        <v>-8</v>
      </c>
      <c r="K71" s="8">
        <f>SUMPRODUCT(($U$70:$U$73&gt;U71)*1)+1</f>
        <v>4</v>
      </c>
      <c r="L71" s="9">
        <v>0</v>
      </c>
      <c r="M71" s="8">
        <v>14</v>
      </c>
      <c r="N71" s="18">
        <v>46188</v>
      </c>
      <c r="O71" s="7" t="s">
        <v>79</v>
      </c>
      <c r="P71" s="9">
        <v>4</v>
      </c>
      <c r="Q71" s="9">
        <v>0</v>
      </c>
      <c r="R71" s="7" t="s">
        <v>80</v>
      </c>
      <c r="U71" s="3">
        <f>C71*10000000+L71*100000+(J71+100)*100+H71+2*0.001</f>
        <v>9201.0020000000004</v>
      </c>
      <c r="V71" s="3">
        <f>IF(AND(MIN($D$70:$D$73)=3,COUNTIFS($C$70:$C$73,C71,$J$70:$J$73,J71,$H$70:$H$73,H71,$I$70:$I$73,I71)&gt;1),1,0)</f>
        <v>0</v>
      </c>
    </row>
    <row r="72" spans="2:24" x14ac:dyDescent="0.2">
      <c r="B72" s="7" t="s">
        <v>81</v>
      </c>
      <c r="C72" s="8">
        <f>3*E72+F72</f>
        <v>3</v>
      </c>
      <c r="D72" s="8">
        <f>SUMPRODUCT((($O$70:$O$75=$B$72)+($R$70:$R$75=$B$72))*ISNUMBER($P$70:$P$75)*ISNUMBER($Q$70:$Q$75))</f>
        <v>3</v>
      </c>
      <c r="E72" s="8">
        <f>SUMPRODUCT(($O$70:$O$75=$B$72)*ISNUMBER($P$70:$P$75)*ISNUMBER($Q$70:$Q$75)*($P$70:$P$75&gt;$Q$70:$Q$75))+SUMPRODUCT(($R$70:$R$75=$B$72)*ISNUMBER($P$70:$P$75)*ISNUMBER($Q$70:$Q$75)*($Q$70:$Q$75&gt;$P$70:$P$75))</f>
        <v>1</v>
      </c>
      <c r="F72" s="8">
        <f>SUMPRODUCT((($O$70:$O$75=$B$72)+($R$70:$R$75=$B$72))*ISNUMBER($P$70:$P$75)*ISNUMBER($Q$70:$Q$75)*($P$70:$P$75=$Q$70:$Q$75))</f>
        <v>0</v>
      </c>
      <c r="G72" s="8">
        <f>SUMPRODUCT(($O$70:$O$75=$B$72)*ISNUMBER($P$70:$P$75)*ISNUMBER($Q$70:$Q$75)*($P$70:$P$75&lt;$Q$70:$Q$75))+SUMPRODUCT(($R$70:$R$75=$B$72)*ISNUMBER($P$70:$P$75)*ISNUMBER($Q$70:$Q$75)*($Q$70:$Q$75&lt;$P$70:$P$75))</f>
        <v>2</v>
      </c>
      <c r="H72" s="8">
        <f>SUMPRODUCT(($O$70:$O$75=$B$72)*ISNUMBER($P$70:$P$75)*ISNUMBER($Q$70:$Q$75)*$P$70:$P$75)+SUMPRODUCT(($R$70:$R$75=$B$72)*ISNUMBER($P$70:$P$75)*ISNUMBER($Q$70:$Q$75)*$Q$70:$Q$75)</f>
        <v>3</v>
      </c>
      <c r="I72" s="8">
        <f>SUMPRODUCT(($O$70:$O$75=$B$72)*ISNUMBER($P$70:$P$75)*ISNUMBER($Q$70:$Q$75)*$Q$70:$Q$75)+SUMPRODUCT(($R$70:$R$75=$B$72)*ISNUMBER($P$70:$P$75)*ISNUMBER($Q$70:$Q$75)*$P$70:$P$75)</f>
        <v>6</v>
      </c>
      <c r="J72" s="8">
        <f>H72-I72</f>
        <v>-3</v>
      </c>
      <c r="K72" s="8">
        <f>SUMPRODUCT(($U$70:$U$73&gt;U72)*1)+1</f>
        <v>3</v>
      </c>
      <c r="L72" s="9">
        <v>0</v>
      </c>
      <c r="M72" s="8">
        <v>37</v>
      </c>
      <c r="N72" s="18">
        <v>46194</v>
      </c>
      <c r="O72" s="7" t="s">
        <v>82</v>
      </c>
      <c r="P72" s="9">
        <v>3</v>
      </c>
      <c r="Q72" s="9">
        <v>0</v>
      </c>
      <c r="R72" s="7" t="s">
        <v>80</v>
      </c>
      <c r="U72" s="3">
        <f>C72*10000000+L72*100000+(J72+100)*100+H72+1*0.001</f>
        <v>30009703.000999998</v>
      </c>
      <c r="V72" s="3">
        <f>IF(AND(MIN($D$70:$D$73)=3,COUNTIFS($C$70:$C$73,C72,$J$70:$J$73,J72,$H$70:$H$73,H72,$I$70:$I$73,I72)&gt;1),1,0)</f>
        <v>0</v>
      </c>
    </row>
    <row r="73" spans="2:24" x14ac:dyDescent="0.2">
      <c r="B73" s="7" t="s">
        <v>82</v>
      </c>
      <c r="C73" s="8">
        <f>3*E73+F73</f>
        <v>6</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0</v>
      </c>
      <c r="G73" s="8">
        <f>SUMPRODUCT(($O$70:$O$75=$B$73)*ISNUMBER($P$70:$P$75)*ISNUMBER($Q$70:$Q$75)*($P$70:$P$75&lt;$Q$70:$Q$75))+SUMPRODUCT(($R$70:$R$75=$B$73)*ISNUMBER($P$70:$P$75)*ISNUMBER($Q$70:$Q$75)*($Q$70:$Q$75&lt;$P$70:$P$75))</f>
        <v>1</v>
      </c>
      <c r="H73" s="8">
        <f>SUMPRODUCT(($O$70:$O$75=$B$73)*ISNUMBER($P$70:$P$75)*ISNUMBER($Q$70:$Q$75)*$P$70:$P$75)+SUMPRODUCT(($R$70:$R$75=$B$73)*ISNUMBER($P$70:$P$75)*ISNUMBER($Q$70:$Q$75)*$Q$70:$Q$75)</f>
        <v>6</v>
      </c>
      <c r="I73" s="8">
        <f>SUMPRODUCT(($O$70:$O$75=$B$73)*ISNUMBER($P$70:$P$75)*ISNUMBER($Q$70:$Q$75)*$Q$70:$Q$75)+SUMPRODUCT(($R$70:$R$75=$B$73)*ISNUMBER($P$70:$P$75)*ISNUMBER($Q$70:$Q$75)*$P$70:$P$75)</f>
        <v>2</v>
      </c>
      <c r="J73" s="8">
        <f>H73-I73</f>
        <v>4</v>
      </c>
      <c r="K73" s="8">
        <f>SUMPRODUCT(($U$70:$U$73&gt;U73)*1)+1</f>
        <v>2</v>
      </c>
      <c r="L73" s="9">
        <v>0</v>
      </c>
      <c r="M73" s="8">
        <v>38</v>
      </c>
      <c r="N73" s="18">
        <v>46194</v>
      </c>
      <c r="O73" s="7" t="s">
        <v>79</v>
      </c>
      <c r="P73" s="9">
        <v>3</v>
      </c>
      <c r="Q73" s="9">
        <v>1</v>
      </c>
      <c r="R73" s="7" t="s">
        <v>81</v>
      </c>
      <c r="U73" s="3">
        <f>C73*10000000+L73*100000+(J73+100)*100+H73+0*0.001</f>
        <v>60010406</v>
      </c>
      <c r="V73" s="3">
        <f>IF(AND(MIN($D$70:$D$73)=3,COUNTIFS($C$70:$C$73,C73,$J$70:$J$73,J73,$H$70:$H$73,H73,$I$70:$I$73,I73)&gt;1),1,0)</f>
        <v>0</v>
      </c>
    </row>
    <row r="74" spans="2:24" x14ac:dyDescent="0.2">
      <c r="M74" s="8">
        <v>65</v>
      </c>
      <c r="N74" s="18">
        <v>46199</v>
      </c>
      <c r="O74" s="7" t="s">
        <v>80</v>
      </c>
      <c r="P74" s="9">
        <v>1</v>
      </c>
      <c r="Q74" s="9">
        <v>2</v>
      </c>
      <c r="R74" s="7" t="s">
        <v>81</v>
      </c>
    </row>
    <row r="75" spans="2:24" x14ac:dyDescent="0.2">
      <c r="M75" s="8">
        <v>66</v>
      </c>
      <c r="N75" s="18">
        <v>46199</v>
      </c>
      <c r="O75" s="7" t="s">
        <v>82</v>
      </c>
      <c r="P75" s="9">
        <v>1</v>
      </c>
      <c r="Q75" s="9">
        <v>2</v>
      </c>
      <c r="R75" s="7"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x14ac:dyDescent="0.2">
      <c r="B79" s="7" t="s">
        <v>84</v>
      </c>
      <c r="C79" s="8">
        <f>3*E79+F79</f>
        <v>9</v>
      </c>
      <c r="D79" s="8">
        <f>SUMPRODUCT((($O$79:$O$84=$B$79)+($R$79:$R$84=$B$79))*ISNUMBER($P$79:$P$84)*ISNUMBER($Q$79:$Q$84))</f>
        <v>3</v>
      </c>
      <c r="E79" s="8">
        <f>SUMPRODUCT(($O$79:$O$84=$B$79)*ISNUMBER($P$79:$P$84)*ISNUMBER($Q$79:$Q$84)*($P$79:$P$84&gt;$Q$79:$Q$84))+SUMPRODUCT(($R$79:$R$84=$B$79)*ISNUMBER($P$79:$P$84)*ISNUMBER($Q$79:$Q$84)*($Q$79:$Q$84&gt;$P$79:$P$84))</f>
        <v>3</v>
      </c>
      <c r="F79" s="8">
        <f>SUMPRODUCT((($O$79:$O$84=$B$79)+($R$79:$R$84=$B$79))*ISNUMBER($P$79:$P$84)*ISNUMBER($Q$79:$Q$84)*($P$79:$P$84=$Q$79:$Q$84))</f>
        <v>0</v>
      </c>
      <c r="G79" s="8">
        <f>SUMPRODUCT(($O$79:$O$84=$B$79)*ISNUMBER($P$79:$P$84)*ISNUMBER($Q$79:$Q$84)*($P$79:$P$84&lt;$Q$79:$Q$84))+SUMPRODUCT(($R$79:$R$84=$B$79)*ISNUMBER($P$79:$P$84)*ISNUMBER($Q$79:$Q$84)*($Q$79:$Q$84&lt;$P$79:$P$84))</f>
        <v>0</v>
      </c>
      <c r="H79" s="8">
        <f>SUMPRODUCT(($O$79:$O$84=$B$79)*ISNUMBER($P$79:$P$84)*ISNUMBER($Q$79:$Q$84)*$P$79:$P$84)+SUMPRODUCT(($R$79:$R$84=$B$79)*ISNUMBER($P$79:$P$84)*ISNUMBER($Q$79:$Q$84)*$Q$79:$Q$84)</f>
        <v>8</v>
      </c>
      <c r="I79" s="8">
        <f>SUMPRODUCT(($O$79:$O$84=$B$79)*ISNUMBER($P$79:$P$84)*ISNUMBER($Q$79:$Q$84)*$Q$79:$Q$84)+SUMPRODUCT(($R$79:$R$84=$B$79)*ISNUMBER($P$79:$P$84)*ISNUMBER($Q$79:$Q$84)*$P$79:$P$84)</f>
        <v>2</v>
      </c>
      <c r="J79" s="8">
        <f>H79-I79</f>
        <v>6</v>
      </c>
      <c r="K79" s="8">
        <f>SUMPRODUCT(($U$79:$U$82&gt;U79)*1)+1</f>
        <v>1</v>
      </c>
      <c r="L79" s="9">
        <v>0</v>
      </c>
      <c r="M79" s="8">
        <v>17</v>
      </c>
      <c r="N79" s="18">
        <v>46189</v>
      </c>
      <c r="O79" s="7" t="s">
        <v>84</v>
      </c>
      <c r="P79" s="9">
        <v>2</v>
      </c>
      <c r="Q79" s="9">
        <v>1</v>
      </c>
      <c r="R79" s="7" t="s">
        <v>85</v>
      </c>
      <c r="U79" s="3">
        <f>C79*10000000+L79*100000+(J79+100)*100+H79+3*0.001</f>
        <v>90010608.003000006</v>
      </c>
      <c r="V79" s="3">
        <f>IF(AND(MIN($D$79:$D$82)=3,COUNTIFS($C$79:$C$82,C79,$J$79:$J$82,J79,$H$79:$H$82,H79,$I$79:$I$82,I79)&gt;1),1,0)</f>
        <v>0</v>
      </c>
    </row>
    <row r="80" spans="2:24" x14ac:dyDescent="0.2">
      <c r="B80" s="7" t="s">
        <v>85</v>
      </c>
      <c r="C80" s="8">
        <f>3*E80+F80</f>
        <v>3</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0</v>
      </c>
      <c r="G80" s="8">
        <f>SUMPRODUCT(($O$79:$O$84=$B$80)*ISNUMBER($P$79:$P$84)*ISNUMBER($Q$79:$Q$84)*($P$79:$P$84&lt;$Q$79:$Q$84))+SUMPRODUCT(($R$79:$R$84=$B$80)*ISNUMBER($P$79:$P$84)*ISNUMBER($Q$79:$Q$84)*($Q$79:$Q$84&lt;$P$79:$P$84))</f>
        <v>2</v>
      </c>
      <c r="H80" s="8">
        <f>SUMPRODUCT(($O$79:$O$84=$B$80)*ISNUMBER($P$79:$P$84)*ISNUMBER($Q$79:$Q$84)*$P$79:$P$84)+SUMPRODUCT(($R$79:$R$84=$B$80)*ISNUMBER($P$79:$P$84)*ISNUMBER($Q$79:$Q$84)*$Q$79:$Q$84)</f>
        <v>4</v>
      </c>
      <c r="I80" s="8">
        <f>SUMPRODUCT(($O$79:$O$84=$B$80)*ISNUMBER($P$79:$P$84)*ISNUMBER($Q$79:$Q$84)*$Q$79:$Q$84)+SUMPRODUCT(($R$79:$R$84=$B$80)*ISNUMBER($P$79:$P$84)*ISNUMBER($Q$79:$Q$84)*$P$79:$P$84)</f>
        <v>4</v>
      </c>
      <c r="J80" s="8">
        <f>H80-I80</f>
        <v>0</v>
      </c>
      <c r="K80" s="8">
        <f>SUMPRODUCT(($U$79:$U$82&gt;U80)*1)+1</f>
        <v>3</v>
      </c>
      <c r="L80" s="9">
        <v>0</v>
      </c>
      <c r="M80" s="8">
        <v>18</v>
      </c>
      <c r="N80" s="18">
        <v>46189</v>
      </c>
      <c r="O80" s="7" t="s">
        <v>87</v>
      </c>
      <c r="P80" s="9">
        <v>1</v>
      </c>
      <c r="Q80" s="9">
        <v>3</v>
      </c>
      <c r="R80" s="7" t="s">
        <v>86</v>
      </c>
      <c r="U80" s="3">
        <f>C80*10000000+L80*100000+(J80+100)*100+H80+2*0.001</f>
        <v>30010004.002</v>
      </c>
      <c r="V80" s="3">
        <f>IF(AND(MIN($D$79:$D$82)=3,COUNTIFS($C$79:$C$82,C80,$J$79:$J$82,J80,$H$79:$H$82,H80,$I$79:$I$82,I80)&gt;1),1,0)</f>
        <v>0</v>
      </c>
    </row>
    <row r="81" spans="2:24" x14ac:dyDescent="0.2">
      <c r="B81" s="7" t="s">
        <v>86</v>
      </c>
      <c r="C81" s="8">
        <f>3*E81+F81</f>
        <v>6</v>
      </c>
      <c r="D81" s="8">
        <f>SUMPRODUCT((($O$79:$O$84=$B$81)+($R$79:$R$84=$B$81))*ISNUMBER($P$79:$P$84)*ISNUMBER($Q$79:$Q$84))</f>
        <v>3</v>
      </c>
      <c r="E81" s="8">
        <f>SUMPRODUCT(($O$79:$O$84=$B$81)*ISNUMBER($P$79:$P$84)*ISNUMBER($Q$79:$Q$84)*($P$79:$P$84&gt;$Q$79:$Q$84))+SUMPRODUCT(($R$79:$R$84=$B$81)*ISNUMBER($P$79:$P$84)*ISNUMBER($Q$79:$Q$84)*($Q$79:$Q$84&gt;$P$79:$P$84))</f>
        <v>2</v>
      </c>
      <c r="F81" s="8">
        <f>SUMPRODUCT((($O$79:$O$84=$B$81)+($R$79:$R$84=$B$81))*ISNUMBER($P$79:$P$84)*ISNUMBER($Q$79:$Q$84)*($P$79:$P$84=$Q$79:$Q$84))</f>
        <v>0</v>
      </c>
      <c r="G81" s="8">
        <f>SUMPRODUCT(($O$79:$O$84=$B$81)*ISNUMBER($P$79:$P$84)*ISNUMBER($Q$79:$Q$84)*($P$79:$P$84&lt;$Q$79:$Q$84))+SUMPRODUCT(($R$79:$R$84=$B$81)*ISNUMBER($P$79:$P$84)*ISNUMBER($Q$79:$Q$84)*($Q$79:$Q$84&lt;$P$79:$P$84))</f>
        <v>1</v>
      </c>
      <c r="H81" s="8">
        <f>SUMPRODUCT(($O$79:$O$84=$B$81)*ISNUMBER($P$79:$P$84)*ISNUMBER($Q$79:$Q$84)*$P$79:$P$84)+SUMPRODUCT(($R$79:$R$84=$B$81)*ISNUMBER($P$79:$P$84)*ISNUMBER($Q$79:$Q$84)*$Q$79:$Q$84)</f>
        <v>6</v>
      </c>
      <c r="I81" s="8">
        <f>SUMPRODUCT(($O$79:$O$84=$B$81)*ISNUMBER($P$79:$P$84)*ISNUMBER($Q$79:$Q$84)*$Q$79:$Q$84)+SUMPRODUCT(($R$79:$R$84=$B$81)*ISNUMBER($P$79:$P$84)*ISNUMBER($Q$79:$Q$84)*$P$79:$P$84)</f>
        <v>5</v>
      </c>
      <c r="J81" s="8">
        <f>H81-I81</f>
        <v>1</v>
      </c>
      <c r="K81" s="8">
        <f>SUMPRODUCT(($U$79:$U$82&gt;U81)*1)+1</f>
        <v>2</v>
      </c>
      <c r="L81" s="9">
        <v>0</v>
      </c>
      <c r="M81" s="8">
        <v>41</v>
      </c>
      <c r="N81" s="18">
        <v>46195</v>
      </c>
      <c r="O81" s="7" t="s">
        <v>86</v>
      </c>
      <c r="P81" s="9">
        <v>2</v>
      </c>
      <c r="Q81" s="9">
        <v>1</v>
      </c>
      <c r="R81" s="7" t="s">
        <v>85</v>
      </c>
      <c r="U81" s="3">
        <f>C81*10000000+L81*100000+(J81+100)*100+H81+1*0.001</f>
        <v>60010106.001000002</v>
      </c>
      <c r="V81" s="3">
        <f>IF(AND(MIN($D$79:$D$82)=3,COUNTIFS($C$79:$C$82,C81,$J$79:$J$82,J81,$H$79:$H$82,H81,$I$79:$I$82,I81)&gt;1),1,0)</f>
        <v>0</v>
      </c>
    </row>
    <row r="82" spans="2:24" x14ac:dyDescent="0.2">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1</v>
      </c>
      <c r="I82" s="8">
        <f>SUMPRODUCT(($O$79:$O$84=$B$82)*ISNUMBER($P$79:$P$84)*ISNUMBER($Q$79:$Q$84)*$Q$79:$Q$84)+SUMPRODUCT(($R$79:$R$84=$B$82)*ISNUMBER($P$79:$P$84)*ISNUMBER($Q$79:$Q$84)*$P$79:$P$84)</f>
        <v>8</v>
      </c>
      <c r="J82" s="8">
        <f>H82-I82</f>
        <v>-7</v>
      </c>
      <c r="K82" s="8">
        <f>SUMPRODUCT(($U$79:$U$82&gt;U82)*1)+1</f>
        <v>4</v>
      </c>
      <c r="L82" s="9">
        <v>0</v>
      </c>
      <c r="M82" s="8">
        <v>42</v>
      </c>
      <c r="N82" s="18">
        <v>46195</v>
      </c>
      <c r="O82" s="7" t="s">
        <v>84</v>
      </c>
      <c r="P82" s="9">
        <v>3</v>
      </c>
      <c r="Q82" s="9">
        <v>0</v>
      </c>
      <c r="R82" s="7" t="s">
        <v>87</v>
      </c>
      <c r="U82" s="3">
        <f>C82*10000000+L82*100000+(J82+100)*100+H82+0*0.001</f>
        <v>9301</v>
      </c>
      <c r="V82" s="3">
        <f>IF(AND(MIN($D$79:$D$82)=3,COUNTIFS($C$79:$C$82,C82,$J$79:$J$82,J82,$H$79:$H$82,H82,$I$79:$I$82,I82)&gt;1),1,0)</f>
        <v>0</v>
      </c>
    </row>
    <row r="83" spans="2:24" x14ac:dyDescent="0.2">
      <c r="M83" s="8">
        <v>61</v>
      </c>
      <c r="N83" s="18">
        <v>46199</v>
      </c>
      <c r="O83" s="7" t="s">
        <v>86</v>
      </c>
      <c r="P83" s="9">
        <v>1</v>
      </c>
      <c r="Q83" s="9">
        <v>3</v>
      </c>
      <c r="R83" s="7" t="s">
        <v>84</v>
      </c>
    </row>
    <row r="84" spans="2:24" x14ac:dyDescent="0.2">
      <c r="M84" s="8">
        <v>62</v>
      </c>
      <c r="N84" s="18">
        <v>46199</v>
      </c>
      <c r="O84" s="7" t="s">
        <v>85</v>
      </c>
      <c r="P84" s="9">
        <v>2</v>
      </c>
      <c r="Q84" s="9">
        <v>0</v>
      </c>
      <c r="R84" s="7"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x14ac:dyDescent="0.2">
      <c r="B88" s="7" t="s">
        <v>89</v>
      </c>
      <c r="C88" s="8">
        <f>3*E88+F88</f>
        <v>7</v>
      </c>
      <c r="D88" s="8">
        <f>SUMPRODUCT((($O$88:$O$93=$B$88)+($R$88:$R$93=$B$88))*ISNUMBER($P$88:$P$93)*ISNUMBER($Q$88:$Q$93))</f>
        <v>3</v>
      </c>
      <c r="E88" s="8">
        <f>SUMPRODUCT(($O$88:$O$93=$B$88)*ISNUMBER($P$88:$P$93)*ISNUMBER($Q$88:$Q$93)*($P$88:$P$93&gt;$Q$88:$Q$93))+SUMPRODUCT(($R$88:$R$93=$B$88)*ISNUMBER($P$88:$P$93)*ISNUMBER($Q$88:$Q$93)*($Q$88:$Q$93&gt;$P$88:$P$93))</f>
        <v>2</v>
      </c>
      <c r="F88" s="8">
        <f>SUMPRODUCT((($O$88:$O$93=$B$88)+($R$88:$R$93=$B$88))*ISNUMBER($P$88:$P$93)*ISNUMBER($Q$88:$Q$93)*($P$88:$P$93=$Q$88:$Q$93))</f>
        <v>1</v>
      </c>
      <c r="G88" s="8">
        <f>SUMPRODUCT(($O$88:$O$93=$B$88)*ISNUMBER($P$88:$P$93)*ISNUMBER($Q$88:$Q$93)*($P$88:$P$93&lt;$Q$88:$Q$93))+SUMPRODUCT(($R$88:$R$93=$B$88)*ISNUMBER($P$88:$P$93)*ISNUMBER($Q$88:$Q$93)*($Q$88:$Q$93&lt;$P$88:$P$93))</f>
        <v>0</v>
      </c>
      <c r="H88" s="8">
        <f>SUMPRODUCT(($O$88:$O$93=$B$88)*ISNUMBER($P$88:$P$93)*ISNUMBER($Q$88:$Q$93)*$P$88:$P$93)+SUMPRODUCT(($R$88:$R$93=$B$88)*ISNUMBER($P$88:$P$93)*ISNUMBER($Q$88:$Q$93)*$Q$88:$Q$93)</f>
        <v>8</v>
      </c>
      <c r="I88" s="8">
        <f>SUMPRODUCT(($O$88:$O$93=$B$88)*ISNUMBER($P$88:$P$93)*ISNUMBER($Q$88:$Q$93)*$Q$88:$Q$93)+SUMPRODUCT(($R$88:$R$93=$B$88)*ISNUMBER($P$88:$P$93)*ISNUMBER($Q$88:$Q$93)*$P$88:$P$93)</f>
        <v>2</v>
      </c>
      <c r="J88" s="8">
        <f>H88-I88</f>
        <v>6</v>
      </c>
      <c r="K88" s="8">
        <f>SUMPRODUCT(($U$88:$U$91&gt;U88)*1)+1</f>
        <v>1</v>
      </c>
      <c r="L88" s="9">
        <v>0</v>
      </c>
      <c r="M88" s="8">
        <v>19</v>
      </c>
      <c r="N88" s="18">
        <v>46189</v>
      </c>
      <c r="O88" s="7" t="s">
        <v>89</v>
      </c>
      <c r="P88" s="9">
        <v>3</v>
      </c>
      <c r="Q88" s="9">
        <v>1</v>
      </c>
      <c r="R88" s="7" t="s">
        <v>90</v>
      </c>
      <c r="U88" s="3">
        <f>C88*10000000+L88*100000+(J88+100)*100+H88+3*0.001</f>
        <v>70010608.003000006</v>
      </c>
      <c r="V88" s="3">
        <f>IF(AND(MIN($D$88:$D$91)=3,COUNTIFS($C$88:$C$91,C88,$J$88:$J$91,J88,$H$88:$H$91,H88,$I$88:$I$91,I88)&gt;1),1,0)</f>
        <v>0</v>
      </c>
    </row>
    <row r="89" spans="2:24" x14ac:dyDescent="0.2">
      <c r="B89" s="7" t="s">
        <v>90</v>
      </c>
      <c r="C89" s="8">
        <f>3*E89+F89</f>
        <v>3</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0</v>
      </c>
      <c r="G89" s="8">
        <f>SUMPRODUCT(($O$88:$O$93=$B$89)*ISNUMBER($P$88:$P$93)*ISNUMBER($Q$88:$Q$93)*($P$88:$P$93&lt;$Q$88:$Q$93))+SUMPRODUCT(($R$88:$R$93=$B$89)*ISNUMBER($P$88:$P$93)*ISNUMBER($Q$88:$Q$93)*($Q$88:$Q$93&lt;$P$88:$P$93))</f>
        <v>2</v>
      </c>
      <c r="H89" s="8">
        <f>SUMPRODUCT(($O$88:$O$93=$B$89)*ISNUMBER($P$88:$P$93)*ISNUMBER($Q$88:$Q$93)*$P$88:$P$93)+SUMPRODUCT(($R$88:$R$93=$B$89)*ISNUMBER($P$88:$P$93)*ISNUMBER($Q$88:$Q$93)*$Q$88:$Q$93)</f>
        <v>3</v>
      </c>
      <c r="I89" s="8">
        <f>SUMPRODUCT(($O$88:$O$93=$B$89)*ISNUMBER($P$88:$P$93)*ISNUMBER($Q$88:$Q$93)*$Q$88:$Q$93)+SUMPRODUCT(($R$88:$R$93=$B$89)*ISNUMBER($P$88:$P$93)*ISNUMBER($Q$88:$Q$93)*$P$88:$P$93)</f>
        <v>5</v>
      </c>
      <c r="J89" s="8">
        <f>H89-I89</f>
        <v>-2</v>
      </c>
      <c r="K89" s="8">
        <f>SUMPRODUCT(($U$88:$U$91&gt;U89)*1)+1</f>
        <v>3</v>
      </c>
      <c r="L89" s="9">
        <v>0</v>
      </c>
      <c r="M89" s="8">
        <v>20</v>
      </c>
      <c r="N89" s="18">
        <v>46189</v>
      </c>
      <c r="O89" s="7" t="s">
        <v>91</v>
      </c>
      <c r="P89" s="9">
        <v>0</v>
      </c>
      <c r="Q89" s="9">
        <v>0</v>
      </c>
      <c r="R89" s="7" t="s">
        <v>92</v>
      </c>
      <c r="U89" s="3">
        <f>C89*10000000+L89*100000+(J89+100)*100+H89+2*0.001</f>
        <v>30009803.002</v>
      </c>
      <c r="V89" s="3">
        <f>IF(AND(MIN($D$88:$D$91)=3,COUNTIFS($C$88:$C$91,C89,$J$88:$J$91,J89,$H$88:$H$91,H89,$I$88:$I$91,I89)&gt;1),1,0)</f>
        <v>0</v>
      </c>
    </row>
    <row r="90" spans="2:24" x14ac:dyDescent="0.2">
      <c r="B90" s="7" t="s">
        <v>91</v>
      </c>
      <c r="C90" s="8">
        <f>3*E90+F90</f>
        <v>5</v>
      </c>
      <c r="D90" s="8">
        <f>SUMPRODUCT((($O$88:$O$93=$B$90)+($R$88:$R$93=$B$90))*ISNUMBER($P$88:$P$93)*ISNUMBER($Q$88:$Q$93))</f>
        <v>3</v>
      </c>
      <c r="E90" s="8">
        <f>SUMPRODUCT(($O$88:$O$93=$B$90)*ISNUMBER($P$88:$P$93)*ISNUMBER($Q$88:$Q$93)*($P$88:$P$93&gt;$Q$88:$Q$93))+SUMPRODUCT(($R$88:$R$93=$B$90)*ISNUMBER($P$88:$P$93)*ISNUMBER($Q$88:$Q$93)*($Q$88:$Q$93&gt;$P$88:$P$93))</f>
        <v>1</v>
      </c>
      <c r="F90" s="8">
        <f>SUMPRODUCT((($O$88:$O$93=$B$90)+($R$88:$R$93=$B$90))*ISNUMBER($P$88:$P$93)*ISNUMBER($Q$88:$Q$93)*($P$88:$P$93=$Q$88:$Q$93))</f>
        <v>2</v>
      </c>
      <c r="G90" s="8">
        <f>SUMPRODUCT(($O$88:$O$93=$B$90)*ISNUMBER($P$88:$P$93)*ISNUMBER($Q$88:$Q$93)*($P$88:$P$93&lt;$Q$88:$Q$93))+SUMPRODUCT(($R$88:$R$93=$B$90)*ISNUMBER($P$88:$P$93)*ISNUMBER($Q$88:$Q$93)*($Q$88:$Q$93&lt;$P$88:$P$93))</f>
        <v>0</v>
      </c>
      <c r="H90" s="8">
        <f>SUMPRODUCT(($O$88:$O$93=$B$90)*ISNUMBER($P$88:$P$93)*ISNUMBER($Q$88:$Q$93)*$P$88:$P$93)+SUMPRODUCT(($R$88:$R$93=$B$90)*ISNUMBER($P$88:$P$93)*ISNUMBER($Q$88:$Q$93)*$Q$88:$Q$93)</f>
        <v>3</v>
      </c>
      <c r="I90" s="8">
        <f>SUMPRODUCT(($O$88:$O$93=$B$90)*ISNUMBER($P$88:$P$93)*ISNUMBER($Q$88:$Q$93)*$Q$88:$Q$93)+SUMPRODUCT(($R$88:$R$93=$B$90)*ISNUMBER($P$88:$P$93)*ISNUMBER($Q$88:$Q$93)*$P$88:$P$93)</f>
        <v>2</v>
      </c>
      <c r="J90" s="8">
        <f>H90-I90</f>
        <v>1</v>
      </c>
      <c r="K90" s="8">
        <f>SUMPRODUCT(($U$88:$U$91&gt;U90)*1)+1</f>
        <v>2</v>
      </c>
      <c r="L90" s="9">
        <v>0</v>
      </c>
      <c r="M90" s="8">
        <v>43</v>
      </c>
      <c r="N90" s="18">
        <v>46195</v>
      </c>
      <c r="O90" s="7" t="s">
        <v>89</v>
      </c>
      <c r="P90" s="9">
        <v>1</v>
      </c>
      <c r="Q90" s="9">
        <v>1</v>
      </c>
      <c r="R90" s="7" t="s">
        <v>91</v>
      </c>
      <c r="U90" s="3">
        <f>C90*10000000+L90*100000+(J90+100)*100+H90+1*0.001</f>
        <v>50010103.001000002</v>
      </c>
      <c r="V90" s="3">
        <f>IF(AND(MIN($D$88:$D$91)=3,COUNTIFS($C$88:$C$91,C90,$J$88:$J$91,J90,$H$88:$H$91,H90,$I$88:$I$91,I90)&gt;1),1,0)</f>
        <v>0</v>
      </c>
    </row>
    <row r="91" spans="2:24" x14ac:dyDescent="0.2">
      <c r="B91" s="7" t="s">
        <v>92</v>
      </c>
      <c r="C91" s="8">
        <f>3*E91+F91</f>
        <v>1</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1</v>
      </c>
      <c r="G91" s="8">
        <f>SUMPRODUCT(($O$88:$O$93=$B$91)*ISNUMBER($P$88:$P$93)*ISNUMBER($Q$88:$Q$93)*($P$88:$P$93&lt;$Q$88:$Q$93))+SUMPRODUCT(($R$88:$R$93=$B$91)*ISNUMBER($P$88:$P$93)*ISNUMBER($Q$88:$Q$93)*($Q$88:$Q$93&lt;$P$88:$P$93))</f>
        <v>2</v>
      </c>
      <c r="H91" s="8">
        <f>SUMPRODUCT(($O$88:$O$93=$B$91)*ISNUMBER($P$88:$P$93)*ISNUMBER($Q$88:$Q$93)*$P$88:$P$93)+SUMPRODUCT(($R$88:$R$93=$B$91)*ISNUMBER($P$88:$P$93)*ISNUMBER($Q$88:$Q$93)*$Q$88:$Q$93)</f>
        <v>0</v>
      </c>
      <c r="I91" s="8">
        <f>SUMPRODUCT(($O$88:$O$93=$B$91)*ISNUMBER($P$88:$P$93)*ISNUMBER($Q$88:$Q$93)*$Q$88:$Q$93)+SUMPRODUCT(($R$88:$R$93=$B$91)*ISNUMBER($P$88:$P$93)*ISNUMBER($Q$88:$Q$93)*$P$88:$P$93)</f>
        <v>5</v>
      </c>
      <c r="J91" s="8">
        <f>H91-I91</f>
        <v>-5</v>
      </c>
      <c r="K91" s="8">
        <f>SUMPRODUCT(($U$88:$U$91&gt;U91)*1)+1</f>
        <v>4</v>
      </c>
      <c r="L91" s="9">
        <v>0</v>
      </c>
      <c r="M91" s="8">
        <v>44</v>
      </c>
      <c r="N91" s="18">
        <v>46195</v>
      </c>
      <c r="O91" s="7" t="s">
        <v>92</v>
      </c>
      <c r="P91" s="9">
        <v>0</v>
      </c>
      <c r="Q91" s="9">
        <v>1</v>
      </c>
      <c r="R91" s="7" t="s">
        <v>90</v>
      </c>
      <c r="U91" s="3">
        <f>C91*10000000+L91*100000+(J91+100)*100+H91+0*0.001</f>
        <v>10009500</v>
      </c>
      <c r="V91" s="3">
        <f>IF(AND(MIN($D$88:$D$91)=3,COUNTIFS($C$88:$C$91,C91,$J$88:$J$91,J91,$H$88:$H$91,H91,$I$88:$I$91,I91)&gt;1),1,0)</f>
        <v>0</v>
      </c>
    </row>
    <row r="92" spans="2:24" x14ac:dyDescent="0.2">
      <c r="M92" s="8">
        <v>69</v>
      </c>
      <c r="N92" s="18">
        <v>46200</v>
      </c>
      <c r="O92" s="7" t="s">
        <v>90</v>
      </c>
      <c r="P92" s="9">
        <v>1</v>
      </c>
      <c r="Q92" s="9">
        <v>2</v>
      </c>
      <c r="R92" s="7" t="s">
        <v>91</v>
      </c>
    </row>
    <row r="93" spans="2:24" x14ac:dyDescent="0.2">
      <c r="M93" s="8">
        <v>70</v>
      </c>
      <c r="N93" s="18">
        <v>46200</v>
      </c>
      <c r="O93" s="7" t="s">
        <v>92</v>
      </c>
      <c r="P93" s="9">
        <v>0</v>
      </c>
      <c r="Q93" s="9">
        <v>4</v>
      </c>
      <c r="R93" s="7"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x14ac:dyDescent="0.2">
      <c r="B97" s="7" t="s">
        <v>94</v>
      </c>
      <c r="C97" s="8">
        <f>3*E97+F97</f>
        <v>7</v>
      </c>
      <c r="D97" s="8">
        <f>SUMPRODUCT((($O$97:$O$102=$B$97)+($R$97:$R$102=$B$97))*ISNUMBER($P$97:$P$102)*ISNUMBER($Q$97:$Q$102))</f>
        <v>3</v>
      </c>
      <c r="E97" s="8">
        <f>SUMPRODUCT(($O$97:$O$102=$B$97)*ISNUMBER($P$97:$P$102)*ISNUMBER($Q$97:$Q$102)*($P$97:$P$102&gt;$Q$97:$Q$102))+SUMPRODUCT(($R$97:$R$102=$B$97)*ISNUMBER($P$97:$P$102)*ISNUMBER($Q$97:$Q$102)*($Q$97:$Q$102&gt;$P$97:$P$102))</f>
        <v>2</v>
      </c>
      <c r="F97" s="8">
        <f>SUMPRODUCT((($O$97:$O$102=$B$97)+($R$97:$R$102=$B$97))*ISNUMBER($P$97:$P$102)*ISNUMBER($Q$97:$Q$102)*($P$97:$P$102=$Q$97:$Q$102))</f>
        <v>1</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8</v>
      </c>
      <c r="I97" s="8">
        <f>SUMPRODUCT(($O$97:$O$102=$B$97)*ISNUMBER($P$97:$P$102)*ISNUMBER($Q$97:$Q$102)*$Q$97:$Q$102)+SUMPRODUCT(($R$97:$R$102=$B$97)*ISNUMBER($P$97:$P$102)*ISNUMBER($Q$97:$Q$102)*$P$97:$P$102)</f>
        <v>2</v>
      </c>
      <c r="J97" s="8">
        <f>H97-I97</f>
        <v>6</v>
      </c>
      <c r="K97" s="8">
        <f>SUMPRODUCT(($U$97:$U$100&gt;U97)*1)+1</f>
        <v>1</v>
      </c>
      <c r="L97" s="9">
        <v>0</v>
      </c>
      <c r="M97" s="8">
        <v>23</v>
      </c>
      <c r="N97" s="18">
        <v>46190</v>
      </c>
      <c r="O97" s="7" t="s">
        <v>94</v>
      </c>
      <c r="P97" s="9">
        <v>3</v>
      </c>
      <c r="Q97" s="9">
        <v>0</v>
      </c>
      <c r="R97" s="7" t="s">
        <v>97</v>
      </c>
      <c r="U97" s="3">
        <f>C97*10000000+L97*100000+(J97+100)*100+H97+3*0.001</f>
        <v>70010608.003000006</v>
      </c>
      <c r="V97" s="3">
        <f>IF(AND(MIN($D$97:$D$100)=3,COUNTIFS($C$97:$C$100,C97,$J$97:$J$100,J97,$H$97:$H$100,H97,$I$97:$I$100,I97)&gt;1),1,0)</f>
        <v>0</v>
      </c>
    </row>
    <row r="98" spans="2:24" x14ac:dyDescent="0.2">
      <c r="B98" s="7" t="s">
        <v>95</v>
      </c>
      <c r="C98" s="8">
        <f>3*E98+F98</f>
        <v>0</v>
      </c>
      <c r="D98" s="8">
        <f>SUMPRODUCT((($O$97:$O$102=$B$98)+($R$97:$R$102=$B$98))*ISNUMBER($P$97:$P$102)*ISNUMBER($Q$97:$Q$102))</f>
        <v>3</v>
      </c>
      <c r="E98" s="8">
        <f>SUMPRODUCT(($O$97:$O$102=$B$98)*ISNUMBER($P$97:$P$102)*ISNUMBER($Q$97:$Q$102)*($P$97:$P$102&gt;$Q$97:$Q$102))+SUMPRODUCT(($R$97:$R$102=$B$98)*ISNUMBER($P$97:$P$102)*ISNUMBER($Q$97:$Q$102)*($Q$97:$Q$102&gt;$P$97:$P$102))</f>
        <v>0</v>
      </c>
      <c r="F98" s="8">
        <f>SUMPRODUCT((($O$97:$O$102=$B$98)+($R$97:$R$102=$B$98))*ISNUMBER($P$97:$P$102)*ISNUMBER($Q$97:$Q$102)*($P$97:$P$102=$Q$97:$Q$102))</f>
        <v>0</v>
      </c>
      <c r="G98" s="8">
        <f>SUMPRODUCT(($O$97:$O$102=$B$98)*ISNUMBER($P$97:$P$102)*ISNUMBER($Q$97:$Q$102)*($P$97:$P$102&lt;$Q$97:$Q$102))+SUMPRODUCT(($R$97:$R$102=$B$98)*ISNUMBER($P$97:$P$102)*ISNUMBER($Q$97:$Q$102)*($Q$97:$Q$102&lt;$P$97:$P$102))</f>
        <v>3</v>
      </c>
      <c r="H98" s="8">
        <f>SUMPRODUCT(($O$97:$O$102=$B$98)*ISNUMBER($P$97:$P$102)*ISNUMBER($Q$97:$Q$102)*$P$97:$P$102)+SUMPRODUCT(($R$97:$R$102=$B$98)*ISNUMBER($P$97:$P$102)*ISNUMBER($Q$97:$Q$102)*$Q$97:$Q$102)</f>
        <v>1</v>
      </c>
      <c r="I98" s="8">
        <f>SUMPRODUCT(($O$97:$O$102=$B$98)*ISNUMBER($P$97:$P$102)*ISNUMBER($Q$97:$Q$102)*$Q$97:$Q$102)+SUMPRODUCT(($R$97:$R$102=$B$98)*ISNUMBER($P$97:$P$102)*ISNUMBER($Q$97:$Q$102)*$P$97:$P$102)</f>
        <v>7</v>
      </c>
      <c r="J98" s="8">
        <f>H98-I98</f>
        <v>-6</v>
      </c>
      <c r="K98" s="8">
        <f>SUMPRODUCT(($U$97:$U$100&gt;U98)*1)+1</f>
        <v>4</v>
      </c>
      <c r="L98" s="9">
        <v>0</v>
      </c>
      <c r="M98" s="8">
        <v>24</v>
      </c>
      <c r="N98" s="18">
        <v>46190</v>
      </c>
      <c r="O98" s="7" t="s">
        <v>95</v>
      </c>
      <c r="P98" s="9">
        <v>1</v>
      </c>
      <c r="Q98" s="9">
        <v>3</v>
      </c>
      <c r="R98" s="7" t="s">
        <v>96</v>
      </c>
      <c r="U98" s="3">
        <f>C98*10000000+L98*100000+(J98+100)*100+H98+2*0.001</f>
        <v>9401.0020000000004</v>
      </c>
      <c r="V98" s="3">
        <f>IF(AND(MIN($D$97:$D$100)=3,COUNTIFS($C$97:$C$100,C98,$J$97:$J$100,J98,$H$97:$H$100,H98,$I$97:$I$100,I98)&gt;1),1,0)</f>
        <v>0</v>
      </c>
    </row>
    <row r="99" spans="2:24" x14ac:dyDescent="0.2">
      <c r="B99" s="7" t="s">
        <v>96</v>
      </c>
      <c r="C99" s="8">
        <f>3*E99+F99</f>
        <v>7</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1</v>
      </c>
      <c r="G99" s="8">
        <f>SUMPRODUCT(($O$97:$O$102=$B$99)*ISNUMBER($P$97:$P$102)*ISNUMBER($Q$97:$Q$102)*($P$97:$P$102&lt;$Q$97:$Q$102))+SUMPRODUCT(($R$97:$R$102=$B$99)*ISNUMBER($P$97:$P$102)*ISNUMBER($Q$97:$Q$102)*($Q$97:$Q$102&lt;$P$97:$P$102))</f>
        <v>0</v>
      </c>
      <c r="H99" s="8">
        <f>SUMPRODUCT(($O$97:$O$102=$B$99)*ISNUMBER($P$97:$P$102)*ISNUMBER($Q$97:$Q$102)*$P$97:$P$102)+SUMPRODUCT(($R$97:$R$102=$B$99)*ISNUMBER($P$97:$P$102)*ISNUMBER($Q$97:$Q$102)*$Q$97:$Q$102)</f>
        <v>7</v>
      </c>
      <c r="I99" s="8">
        <f>SUMPRODUCT(($O$97:$O$102=$B$99)*ISNUMBER($P$97:$P$102)*ISNUMBER($Q$97:$Q$102)*$Q$97:$Q$102)+SUMPRODUCT(($R$97:$R$102=$B$99)*ISNUMBER($P$97:$P$102)*ISNUMBER($Q$97:$Q$102)*$P$97:$P$102)</f>
        <v>4</v>
      </c>
      <c r="J99" s="8">
        <f>H99-I99</f>
        <v>3</v>
      </c>
      <c r="K99" s="8">
        <f>SUMPRODUCT(($U$97:$U$100&gt;U99)*1)+1</f>
        <v>2</v>
      </c>
      <c r="L99" s="9">
        <v>0</v>
      </c>
      <c r="M99" s="8">
        <v>47</v>
      </c>
      <c r="N99" s="18">
        <v>46196</v>
      </c>
      <c r="O99" s="7" t="s">
        <v>94</v>
      </c>
      <c r="P99" s="9">
        <v>3</v>
      </c>
      <c r="Q99" s="9">
        <v>0</v>
      </c>
      <c r="R99" s="7" t="s">
        <v>95</v>
      </c>
      <c r="U99" s="3">
        <f>C99*10000000+L99*100000+(J99+100)*100+H99+1*0.001</f>
        <v>70010307.001000002</v>
      </c>
      <c r="V99" s="3">
        <f>IF(AND(MIN($D$97:$D$100)=3,COUNTIFS($C$97:$C$100,C99,$J$97:$J$100,J99,$H$97:$H$100,H99,$I$97:$I$100,I99)&gt;1),1,0)</f>
        <v>0</v>
      </c>
    </row>
    <row r="100" spans="2:24" x14ac:dyDescent="0.2">
      <c r="B100" s="7" t="s">
        <v>97</v>
      </c>
      <c r="C100" s="8">
        <f>3*E100+F100</f>
        <v>3</v>
      </c>
      <c r="D100" s="8">
        <f>SUMPRODUCT((($O$97:$O$102=$B$100)+($R$97:$R$102=$B$100))*ISNUMBER($P$97:$P$102)*ISNUMBER($Q$97:$Q$102))</f>
        <v>3</v>
      </c>
      <c r="E100" s="8">
        <f>SUMPRODUCT(($O$97:$O$102=$B$100)*ISNUMBER($P$97:$P$102)*ISNUMBER($Q$97:$Q$102)*($P$97:$P$102&gt;$Q$97:$Q$102))+SUMPRODUCT(($R$97:$R$102=$B$100)*ISNUMBER($P$97:$P$102)*ISNUMBER($Q$97:$Q$102)*($Q$97:$Q$102&gt;$P$97:$P$102))</f>
        <v>1</v>
      </c>
      <c r="F100" s="8">
        <f>SUMPRODUCT((($O$97:$O$102=$B$100)+($R$97:$R$102=$B$100))*ISNUMBER($P$97:$P$102)*ISNUMBER($Q$97:$Q$102)*($P$97:$P$102=$Q$97:$Q$102))</f>
        <v>0</v>
      </c>
      <c r="G100" s="8">
        <f>SUMPRODUCT(($O$97:$O$102=$B$100)*ISNUMBER($P$97:$P$102)*ISNUMBER($Q$97:$Q$102)*($P$97:$P$102&lt;$Q$97:$Q$102))+SUMPRODUCT(($R$97:$R$102=$B$100)*ISNUMBER($P$97:$P$102)*ISNUMBER($Q$97:$Q$102)*($Q$97:$Q$102&lt;$P$97:$P$102))</f>
        <v>2</v>
      </c>
      <c r="H100" s="8">
        <f>SUMPRODUCT(($O$97:$O$102=$B$100)*ISNUMBER($P$97:$P$102)*ISNUMBER($Q$97:$Q$102)*$P$97:$P$102)+SUMPRODUCT(($R$97:$R$102=$B$100)*ISNUMBER($P$97:$P$102)*ISNUMBER($Q$97:$Q$102)*$Q$97:$Q$102)</f>
        <v>2</v>
      </c>
      <c r="I100" s="8">
        <f>SUMPRODUCT(($O$97:$O$102=$B$100)*ISNUMBER($P$97:$P$102)*ISNUMBER($Q$97:$Q$102)*$Q$97:$Q$102)+SUMPRODUCT(($R$97:$R$102=$B$100)*ISNUMBER($P$97:$P$102)*ISNUMBER($Q$97:$Q$102)*$P$97:$P$102)</f>
        <v>5</v>
      </c>
      <c r="J100" s="8">
        <f>H100-I100</f>
        <v>-3</v>
      </c>
      <c r="K100" s="8">
        <f>SUMPRODUCT(($U$97:$U$100&gt;U100)*1)+1</f>
        <v>3</v>
      </c>
      <c r="L100" s="9">
        <v>0</v>
      </c>
      <c r="M100" s="8">
        <v>48</v>
      </c>
      <c r="N100" s="18">
        <v>46196</v>
      </c>
      <c r="O100" s="7" t="s">
        <v>96</v>
      </c>
      <c r="P100" s="9">
        <v>2</v>
      </c>
      <c r="Q100" s="9">
        <v>1</v>
      </c>
      <c r="R100" s="7" t="s">
        <v>97</v>
      </c>
      <c r="U100" s="3">
        <f>C100*10000000+L100*100000+(J100+100)*100+H100+0*0.001</f>
        <v>30009702</v>
      </c>
      <c r="V100" s="3">
        <f>IF(AND(MIN($D$97:$D$100)=3,COUNTIFS($C$97:$C$100,C100,$J$97:$J$100,J100,$H$97:$H$100,H100,$I$97:$I$100,I100)&gt;1),1,0)</f>
        <v>0</v>
      </c>
    </row>
    <row r="101" spans="2:24" x14ac:dyDescent="0.2">
      <c r="M101" s="8">
        <v>71</v>
      </c>
      <c r="N101" s="18">
        <v>46200</v>
      </c>
      <c r="O101" s="7" t="s">
        <v>96</v>
      </c>
      <c r="P101" s="9">
        <v>2</v>
      </c>
      <c r="Q101" s="9">
        <v>2</v>
      </c>
      <c r="R101" s="7" t="s">
        <v>94</v>
      </c>
    </row>
    <row r="102" spans="2:24" x14ac:dyDescent="0.2">
      <c r="M102" s="8">
        <v>72</v>
      </c>
      <c r="N102" s="18">
        <v>46200</v>
      </c>
      <c r="O102" s="7" t="s">
        <v>97</v>
      </c>
      <c r="P102" s="9">
        <v>1</v>
      </c>
      <c r="Q102" s="9">
        <v>0</v>
      </c>
      <c r="R102" s="7"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x14ac:dyDescent="0.2">
      <c r="B106" s="7" t="s">
        <v>99</v>
      </c>
      <c r="C106" s="8">
        <f>3*E106+F106</f>
        <v>7</v>
      </c>
      <c r="D106" s="8">
        <f>SUMPRODUCT((($O$106:$O$111=$B$106)+($R$106:$R$111=$B$106))*ISNUMBER($P$106:$P$111)*ISNUMBER($Q$106:$Q$111))</f>
        <v>3</v>
      </c>
      <c r="E106" s="8">
        <f>SUMPRODUCT(($O$106:$O$111=$B$106)*ISNUMBER($P$106:$P$111)*ISNUMBER($Q$106:$Q$111)*($P$106:$P$111&gt;$Q$106:$Q$111))+SUMPRODUCT(($R$106:$R$111=$B$106)*ISNUMBER($P$106:$P$111)*ISNUMBER($Q$106:$Q$111)*($Q$106:$Q$111&gt;$P$106:$P$111))</f>
        <v>2</v>
      </c>
      <c r="F106" s="8">
        <f>SUMPRODUCT((($O$106:$O$111=$B$106)+($R$106:$R$111=$B$106))*ISNUMBER($P$106:$P$111)*ISNUMBER($Q$106:$Q$111)*($P$106:$P$111=$Q$106:$Q$111))</f>
        <v>1</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6</v>
      </c>
      <c r="I106" s="8">
        <f>SUMPRODUCT(($O$106:$O$111=$B$106)*ISNUMBER($P$106:$P$111)*ISNUMBER($Q$106:$Q$111)*$Q$106:$Q$111)+SUMPRODUCT(($R$106:$R$111=$B$106)*ISNUMBER($P$106:$P$111)*ISNUMBER($Q$106:$Q$111)*$P$106:$P$111)</f>
        <v>3</v>
      </c>
      <c r="J106" s="8">
        <f>H106-I106</f>
        <v>3</v>
      </c>
      <c r="K106" s="8">
        <f>SUMPRODUCT(($U$106:$U$109&gt;U106)*1)+1</f>
        <v>1</v>
      </c>
      <c r="L106" s="9">
        <v>0</v>
      </c>
      <c r="M106" s="8">
        <v>21</v>
      </c>
      <c r="N106" s="18">
        <v>46190</v>
      </c>
      <c r="O106" s="7" t="s">
        <v>101</v>
      </c>
      <c r="P106" s="9">
        <v>1</v>
      </c>
      <c r="Q106" s="9">
        <v>0</v>
      </c>
      <c r="R106" s="7" t="s">
        <v>102</v>
      </c>
      <c r="U106" s="3">
        <f>C106*10000000+L106*100000+(J106+100)*100+H106+3*0.001</f>
        <v>70010306.003000006</v>
      </c>
      <c r="V106" s="3">
        <f>IF(AND(MIN($D$106:$D$109)=3,COUNTIFS($C$106:$C$109,C106,$J$106:$J$109,J106,$H$106:$H$109,H106,$I$106:$I$109,I106)&gt;1),1,0)</f>
        <v>0</v>
      </c>
    </row>
    <row r="107" spans="2:24" x14ac:dyDescent="0.2">
      <c r="B107" s="7" t="s">
        <v>100</v>
      </c>
      <c r="C107" s="8">
        <f>3*E107+F107</f>
        <v>5</v>
      </c>
      <c r="D107" s="8">
        <f>SUMPRODUCT((($O$106:$O$111=$B$107)+($R$106:$R$111=$B$107))*ISNUMBER($P$106:$P$111)*ISNUMBER($Q$106:$Q$111))</f>
        <v>3</v>
      </c>
      <c r="E107" s="8">
        <f>SUMPRODUCT(($O$106:$O$111=$B$107)*ISNUMBER($P$106:$P$111)*ISNUMBER($Q$106:$Q$111)*($P$106:$P$111&gt;$Q$106:$Q$111))+SUMPRODUCT(($R$106:$R$111=$B$107)*ISNUMBER($P$106:$P$111)*ISNUMBER($Q$106:$Q$111)*($Q$106:$Q$111&gt;$P$106:$P$111))</f>
        <v>1</v>
      </c>
      <c r="F107" s="8">
        <f>SUMPRODUCT((($O$106:$O$111=$B$107)+($R$106:$R$111=$B$107))*ISNUMBER($P$106:$P$111)*ISNUMBER($Q$106:$Q$111)*($P$106:$P$111=$Q$106:$Q$111))</f>
        <v>2</v>
      </c>
      <c r="G107" s="8">
        <f>SUMPRODUCT(($O$106:$O$111=$B$107)*ISNUMBER($P$106:$P$111)*ISNUMBER($Q$106:$Q$111)*($P$106:$P$111&lt;$Q$106:$Q$111))+SUMPRODUCT(($R$106:$R$111=$B$107)*ISNUMBER($P$106:$P$111)*ISNUMBER($Q$106:$Q$111)*($Q$106:$Q$111&lt;$P$106:$P$111))</f>
        <v>0</v>
      </c>
      <c r="H107" s="8">
        <f>SUMPRODUCT(($O$106:$O$111=$B$107)*ISNUMBER($P$106:$P$111)*ISNUMBER($Q$106:$Q$111)*$P$106:$P$111)+SUMPRODUCT(($R$106:$R$111=$B$107)*ISNUMBER($P$106:$P$111)*ISNUMBER($Q$106:$Q$111)*$Q$106:$Q$111)</f>
        <v>5</v>
      </c>
      <c r="I107" s="8">
        <f>SUMPRODUCT(($O$106:$O$111=$B$107)*ISNUMBER($P$106:$P$111)*ISNUMBER($Q$106:$Q$111)*$Q$106:$Q$111)+SUMPRODUCT(($R$106:$R$111=$B$107)*ISNUMBER($P$106:$P$111)*ISNUMBER($Q$106:$Q$111)*$P$106:$P$111)</f>
        <v>3</v>
      </c>
      <c r="J107" s="8">
        <f>H107-I107</f>
        <v>2</v>
      </c>
      <c r="K107" s="8">
        <f>SUMPRODUCT(($U$106:$U$109&gt;U107)*1)+1</f>
        <v>2</v>
      </c>
      <c r="L107" s="9">
        <v>0</v>
      </c>
      <c r="M107" s="8">
        <v>22</v>
      </c>
      <c r="N107" s="18">
        <v>46190</v>
      </c>
      <c r="O107" s="7" t="s">
        <v>99</v>
      </c>
      <c r="P107" s="9">
        <v>2</v>
      </c>
      <c r="Q107" s="9">
        <v>2</v>
      </c>
      <c r="R107" s="7" t="s">
        <v>100</v>
      </c>
      <c r="U107" s="3">
        <f>C107*10000000+L107*100000+(J107+100)*100+H107+2*0.001</f>
        <v>50010205.001999997</v>
      </c>
      <c r="V107" s="3">
        <f>IF(AND(MIN($D$106:$D$109)=3,COUNTIFS($C$106:$C$109,C107,$J$106:$J$109,J107,$H$106:$H$109,H107,$I$106:$I$109,I107)&gt;1),1,0)</f>
        <v>0</v>
      </c>
    </row>
    <row r="108" spans="2:24" x14ac:dyDescent="0.2">
      <c r="B108" s="7" t="s">
        <v>101</v>
      </c>
      <c r="C108" s="8">
        <f>3*E108+F108</f>
        <v>4</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1</v>
      </c>
      <c r="G108" s="8">
        <f>SUMPRODUCT(($O$106:$O$111=$B$108)*ISNUMBER($P$106:$P$111)*ISNUMBER($Q$106:$Q$111)*($P$106:$P$111&lt;$Q$106:$Q$111))+SUMPRODUCT(($R$106:$R$111=$B$108)*ISNUMBER($P$106:$P$111)*ISNUMBER($Q$106:$Q$111)*($Q$106:$Q$111&lt;$P$106:$P$111))</f>
        <v>1</v>
      </c>
      <c r="H108" s="8">
        <f>SUMPRODUCT(($O$106:$O$111=$B$108)*ISNUMBER($P$106:$P$111)*ISNUMBER($Q$106:$Q$111)*$P$106:$P$111)+SUMPRODUCT(($R$106:$R$111=$B$108)*ISNUMBER($P$106:$P$111)*ISNUMBER($Q$106:$Q$111)*$Q$106:$Q$111)</f>
        <v>2</v>
      </c>
      <c r="I108" s="8">
        <f>SUMPRODUCT(($O$106:$O$111=$B$108)*ISNUMBER($P$106:$P$111)*ISNUMBER($Q$106:$Q$111)*$Q$106:$Q$111)+SUMPRODUCT(($R$106:$R$111=$B$108)*ISNUMBER($P$106:$P$111)*ISNUMBER($Q$106:$Q$111)*$P$106:$P$111)</f>
        <v>2</v>
      </c>
      <c r="J108" s="8">
        <f>H108-I108</f>
        <v>0</v>
      </c>
      <c r="K108" s="8">
        <f>SUMPRODUCT(($U$106:$U$109&gt;U108)*1)+1</f>
        <v>3</v>
      </c>
      <c r="L108" s="9">
        <v>0</v>
      </c>
      <c r="M108" s="8">
        <v>45</v>
      </c>
      <c r="N108" s="18">
        <v>46196</v>
      </c>
      <c r="O108" s="7" t="s">
        <v>99</v>
      </c>
      <c r="P108" s="9">
        <v>1</v>
      </c>
      <c r="Q108" s="9">
        <v>0</v>
      </c>
      <c r="R108" s="7" t="s">
        <v>101</v>
      </c>
      <c r="U108" s="3">
        <f>C108*10000000+L108*100000+(J108+100)*100+H108+1*0.001</f>
        <v>40010002.001000002</v>
      </c>
      <c r="V108" s="3">
        <f>IF(AND(MIN($D$106:$D$109)=3,COUNTIFS($C$106:$C$109,C108,$J$106:$J$109,J108,$H$106:$H$109,H108,$I$106:$I$109,I108)&gt;1),1,0)</f>
        <v>0</v>
      </c>
    </row>
    <row r="109" spans="2:24" x14ac:dyDescent="0.2">
      <c r="B109" s="7" t="s">
        <v>102</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1</v>
      </c>
      <c r="I109" s="8">
        <f>SUMPRODUCT(($O$106:$O$111=$B$109)*ISNUMBER($P$106:$P$111)*ISNUMBER($Q$106:$Q$111)*$Q$106:$Q$111)+SUMPRODUCT(($R$106:$R$111=$B$109)*ISNUMBER($P$106:$P$111)*ISNUMBER($Q$106:$Q$111)*$P$106:$P$111)</f>
        <v>6</v>
      </c>
      <c r="J109" s="8">
        <f>H109-I109</f>
        <v>-5</v>
      </c>
      <c r="K109" s="8">
        <f>SUMPRODUCT(($U$106:$U$109&gt;U109)*1)+1</f>
        <v>4</v>
      </c>
      <c r="L109" s="9">
        <v>0</v>
      </c>
      <c r="M109" s="8">
        <v>46</v>
      </c>
      <c r="N109" s="18">
        <v>46196</v>
      </c>
      <c r="O109" s="7" t="s">
        <v>102</v>
      </c>
      <c r="P109" s="9">
        <v>0</v>
      </c>
      <c r="Q109" s="9">
        <v>2</v>
      </c>
      <c r="R109" s="7" t="s">
        <v>100</v>
      </c>
      <c r="U109" s="3">
        <f>C109*10000000+L109*100000+(J109+100)*100+H109+0*0.001</f>
        <v>9501</v>
      </c>
      <c r="V109" s="3">
        <f>IF(AND(MIN($D$106:$D$109)=3,COUNTIFS($C$106:$C$109,C109,$J$106:$J$109,J109,$H$106:$H$109,H109,$I$106:$I$109,I109)&gt;1),1,0)</f>
        <v>0</v>
      </c>
    </row>
    <row r="110" spans="2:24" x14ac:dyDescent="0.2">
      <c r="M110" s="8">
        <v>67</v>
      </c>
      <c r="N110" s="18">
        <v>46200</v>
      </c>
      <c r="O110" s="7" t="s">
        <v>102</v>
      </c>
      <c r="P110" s="9">
        <v>1</v>
      </c>
      <c r="Q110" s="9">
        <v>3</v>
      </c>
      <c r="R110" s="7" t="s">
        <v>99</v>
      </c>
    </row>
    <row r="111" spans="2:24" x14ac:dyDescent="0.2">
      <c r="M111" s="8">
        <v>68</v>
      </c>
      <c r="N111" s="18">
        <v>46200</v>
      </c>
      <c r="O111" s="7" t="s">
        <v>100</v>
      </c>
      <c r="P111" s="9">
        <v>1</v>
      </c>
      <c r="Q111" s="9">
        <v>1</v>
      </c>
      <c r="R111" s="7" t="s">
        <v>101</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F9" sqref="F9"/>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1" t="s">
        <v>105</v>
      </c>
    </row>
    <row r="3" spans="1:13" x14ac:dyDescent="0.2">
      <c r="A3" s="12" t="s">
        <v>106</v>
      </c>
      <c r="B3" s="12" t="s">
        <v>107</v>
      </c>
      <c r="C3" s="12" t="s">
        <v>108</v>
      </c>
      <c r="D3" s="12" t="s">
        <v>109</v>
      </c>
      <c r="E3" s="12" t="s">
        <v>110</v>
      </c>
      <c r="F3" s="12" t="s">
        <v>37</v>
      </c>
      <c r="G3" s="12" t="s">
        <v>111</v>
      </c>
      <c r="H3" s="12" t="s">
        <v>112</v>
      </c>
      <c r="K3" s="3" t="s">
        <v>132</v>
      </c>
    </row>
    <row r="4" spans="1:13" x14ac:dyDescent="0.2">
      <c r="A4" s="13" t="s">
        <v>113</v>
      </c>
      <c r="B4" s="7" t="str">
        <f>INDEX(Gironi!$B$7:$B$10,MATCH(3,Gironi!$K$7:$K$10,0))</f>
        <v>Corea del Sud</v>
      </c>
      <c r="C4" s="8">
        <f>INDEX(Gironi!$C$7:$C$10,MATCH(3,Gironi!$K$7:$K$10,0))</f>
        <v>4</v>
      </c>
      <c r="D4" s="8">
        <f>INDEX(Gironi!$J$7:$J$10,MATCH(3,Gironi!$K$7:$K$10,0))</f>
        <v>1</v>
      </c>
      <c r="E4" s="8">
        <f>INDEX(Gironi!$H$7:$H$10,MATCH(3,Gironi!$K$7:$K$10,0))</f>
        <v>4</v>
      </c>
      <c r="F4" s="9">
        <v>0</v>
      </c>
      <c r="G4" s="8">
        <f t="shared" ref="G4:G15" si="0">SUMPRODUCT(($K$4:$K$15&gt;K4)*1)+1</f>
        <v>1</v>
      </c>
      <c r="H4" s="8" t="str">
        <f t="shared" ref="H4:H15" si="1">IF(G4&lt;=8,"SI","NO")</f>
        <v>SI</v>
      </c>
      <c r="K4" s="3">
        <f>C4*1000000+(D4+100)*1000+E4*10+F4*0.1+11*0.001</f>
        <v>4101040.0109999999</v>
      </c>
      <c r="L4" s="3">
        <f>INDEX(Gironi!$D$7:$D$10,MATCH(3,Gironi!$K$7:$K$10,0))</f>
        <v>3</v>
      </c>
      <c r="M4" s="3">
        <f t="shared" ref="M4:M15" si="2">IF(AND(L4=3,SUMPRODUCT(($L$4:$L$15=3)*($C$4:$C$15=C4)*($D$4:$D$15=D4)*($E$4:$E$15=E4))&gt;1),1,0)</f>
        <v>0</v>
      </c>
    </row>
    <row r="5" spans="1:13" x14ac:dyDescent="0.2">
      <c r="A5" s="13" t="s">
        <v>114</v>
      </c>
      <c r="B5" s="7" t="str">
        <f>INDEX(Gironi!$B$16:$B$19,MATCH(3,Gironi!$K$16:$K$19,0))</f>
        <v>Bosnia ed Erzegovina</v>
      </c>
      <c r="C5" s="8">
        <f>INDEX(Gironi!$C$16:$C$19,MATCH(3,Gironi!$K$16:$K$19,0))</f>
        <v>3</v>
      </c>
      <c r="D5" s="8">
        <f>INDEX(Gironi!$J$16:$J$19,MATCH(3,Gironi!$K$16:$K$19,0))</f>
        <v>-1</v>
      </c>
      <c r="E5" s="8">
        <f>INDEX(Gironi!$H$16:$H$19,MATCH(3,Gironi!$K$16:$K$19,0))</f>
        <v>4</v>
      </c>
      <c r="F5" s="9">
        <v>0</v>
      </c>
      <c r="G5" s="8">
        <f t="shared" si="0"/>
        <v>7</v>
      </c>
      <c r="H5" s="8" t="str">
        <f t="shared" si="1"/>
        <v>SI</v>
      </c>
      <c r="K5" s="3">
        <f>C5*1000000+(D5+100)*1000+E5*10+F5*0.1+10*0.001</f>
        <v>3099040.01</v>
      </c>
      <c r="L5" s="3">
        <f>INDEX(Gironi!$D$16:$D$19,MATCH(3,Gironi!$K$16:$K$19,0))</f>
        <v>3</v>
      </c>
      <c r="M5" s="3">
        <f t="shared" si="2"/>
        <v>0</v>
      </c>
    </row>
    <row r="6" spans="1:13" x14ac:dyDescent="0.2">
      <c r="A6" s="13" t="s">
        <v>115</v>
      </c>
      <c r="B6" s="7" t="str">
        <f>INDEX(Gironi!$B$25:$B$28,MATCH(3,Gironi!$K$25:$K$28,0))</f>
        <v>Scozia</v>
      </c>
      <c r="C6" s="8">
        <f>INDEX(Gironi!$C$25:$C$28,MATCH(3,Gironi!$K$25:$K$28,0))</f>
        <v>3</v>
      </c>
      <c r="D6" s="8">
        <f>INDEX(Gironi!$J$25:$J$28,MATCH(3,Gironi!$K$25:$K$28,0))</f>
        <v>-2</v>
      </c>
      <c r="E6" s="8">
        <f>INDEX(Gironi!$H$25:$H$28,MATCH(3,Gironi!$K$25:$K$28,0))</f>
        <v>4</v>
      </c>
      <c r="F6" s="9">
        <v>0</v>
      </c>
      <c r="G6" s="8">
        <f t="shared" si="0"/>
        <v>8</v>
      </c>
      <c r="H6" s="8" t="str">
        <f t="shared" si="1"/>
        <v>SI</v>
      </c>
      <c r="K6" s="3">
        <f>C6*1000000+(D6+100)*1000+E6*10+F6*0.1+9*0.001</f>
        <v>3098040.0090000001</v>
      </c>
      <c r="L6" s="3">
        <f>INDEX(Gironi!$D$25:$D$28,MATCH(3,Gironi!$K$25:$K$28,0))</f>
        <v>3</v>
      </c>
      <c r="M6" s="3">
        <f t="shared" si="2"/>
        <v>0</v>
      </c>
    </row>
    <row r="7" spans="1:13" x14ac:dyDescent="0.2">
      <c r="A7" s="13" t="s">
        <v>116</v>
      </c>
      <c r="B7" s="7" t="str">
        <f>INDEX(Gironi!$B$34:$B$37,MATCH(3,Gironi!$K$34:$K$37,0))</f>
        <v>Paraguay</v>
      </c>
      <c r="C7" s="8">
        <f>INDEX(Gironi!$C$34:$C$37,MATCH(3,Gironi!$K$34:$K$37,0))</f>
        <v>2</v>
      </c>
      <c r="D7" s="8">
        <f>INDEX(Gironi!$J$34:$J$37,MATCH(3,Gironi!$K$34:$K$37,0))</f>
        <v>-2</v>
      </c>
      <c r="E7" s="8">
        <f>INDEX(Gironi!$H$34:$H$37,MATCH(3,Gironi!$K$34:$K$37,0))</f>
        <v>3</v>
      </c>
      <c r="F7" s="9">
        <v>0</v>
      </c>
      <c r="G7" s="8">
        <f t="shared" si="0"/>
        <v>12</v>
      </c>
      <c r="H7" s="8" t="str">
        <f t="shared" si="1"/>
        <v>NO</v>
      </c>
      <c r="K7" s="3">
        <f>C7*1000000+(D7+100)*1000+E7*10+F7*0.1+8*0.001</f>
        <v>2098030.0079999999</v>
      </c>
      <c r="L7" s="3">
        <f>INDEX(Gironi!$D$34:$D$37,MATCH(3,Gironi!$K$34:$K$37,0))</f>
        <v>3</v>
      </c>
      <c r="M7" s="3">
        <f t="shared" si="2"/>
        <v>0</v>
      </c>
    </row>
    <row r="8" spans="1:13" x14ac:dyDescent="0.2">
      <c r="A8" s="13" t="s">
        <v>117</v>
      </c>
      <c r="B8" s="7" t="str">
        <f>INDEX(Gironi!$B$43:$B$46,MATCH(3,Gironi!$K$43:$K$46,0))</f>
        <v>Ecuador</v>
      </c>
      <c r="C8" s="8">
        <f>INDEX(Gironi!$C$43:$C$46,MATCH(3,Gironi!$K$43:$K$46,0))</f>
        <v>3</v>
      </c>
      <c r="D8" s="8">
        <f>INDEX(Gironi!$J$43:$J$46,MATCH(3,Gironi!$K$43:$K$46,0))</f>
        <v>0</v>
      </c>
      <c r="E8" s="8">
        <f>INDEX(Gironi!$H$43:$H$46,MATCH(3,Gironi!$K$43:$K$46,0))</f>
        <v>4</v>
      </c>
      <c r="F8" s="9">
        <v>1</v>
      </c>
      <c r="G8" s="8">
        <f t="shared" si="0"/>
        <v>6</v>
      </c>
      <c r="H8" s="8" t="str">
        <f t="shared" si="1"/>
        <v>SI</v>
      </c>
      <c r="K8" s="3">
        <f>C8*1000000+(D8+100)*1000+E8*10+F8*0.1+7*0.001</f>
        <v>3100040.1070000003</v>
      </c>
      <c r="L8" s="3">
        <f>INDEX(Gironi!$D$43:$D$46,MATCH(3,Gironi!$K$43:$K$46,0))</f>
        <v>3</v>
      </c>
      <c r="M8" s="3">
        <f t="shared" si="2"/>
        <v>1</v>
      </c>
    </row>
    <row r="9" spans="1:13" x14ac:dyDescent="0.2">
      <c r="A9" s="13" t="s">
        <v>118</v>
      </c>
      <c r="B9" s="7" t="str">
        <f>INDEX(Gironi!$B$52:$B$55,MATCH(3,Gironi!$K$52:$K$55,0))</f>
        <v>Giappone</v>
      </c>
      <c r="C9" s="8">
        <f>INDEX(Gironi!$C$52:$C$55,MATCH(3,Gironi!$K$52:$K$55,0))</f>
        <v>4</v>
      </c>
      <c r="D9" s="8">
        <f>INDEX(Gironi!$J$52:$J$55,MATCH(3,Gironi!$K$52:$K$55,0))</f>
        <v>-1</v>
      </c>
      <c r="E9" s="8">
        <f>INDEX(Gironi!$H$52:$H$55,MATCH(3,Gironi!$K$52:$K$55,0))</f>
        <v>4</v>
      </c>
      <c r="F9" s="9">
        <v>0</v>
      </c>
      <c r="G9" s="8">
        <f t="shared" si="0"/>
        <v>3</v>
      </c>
      <c r="H9" s="8" t="str">
        <f t="shared" si="1"/>
        <v>SI</v>
      </c>
      <c r="K9" s="3">
        <f>C9*1000000+(D9+100)*1000+E9*10+F9*0.1+6*0.001</f>
        <v>4099040.0060000001</v>
      </c>
      <c r="L9" s="3">
        <f>INDEX(Gironi!$D$52:$D$55,MATCH(3,Gironi!$K$52:$K$55,0))</f>
        <v>3</v>
      </c>
      <c r="M9" s="3">
        <f t="shared" si="2"/>
        <v>0</v>
      </c>
    </row>
    <row r="10" spans="1:13" x14ac:dyDescent="0.2">
      <c r="A10" s="13" t="s">
        <v>29</v>
      </c>
      <c r="B10" s="7" t="str">
        <f>INDEX(Gironi!$B$61:$B$64,MATCH(3,Gironi!$K$61:$K$64,0))</f>
        <v>Iran</v>
      </c>
      <c r="C10" s="8">
        <f>INDEX(Gironi!$C$61:$C$64,MATCH(3,Gironi!$K$61:$K$64,0))</f>
        <v>3</v>
      </c>
      <c r="D10" s="8">
        <f>INDEX(Gironi!$J$61:$J$64,MATCH(3,Gironi!$K$61:$K$64,0))</f>
        <v>0</v>
      </c>
      <c r="E10" s="8">
        <f>INDEX(Gironi!$H$61:$H$64,MATCH(3,Gironi!$K$61:$K$64,0))</f>
        <v>4</v>
      </c>
      <c r="F10" s="9">
        <v>3</v>
      </c>
      <c r="G10" s="8">
        <f t="shared" si="0"/>
        <v>4</v>
      </c>
      <c r="H10" s="8" t="str">
        <f t="shared" si="1"/>
        <v>SI</v>
      </c>
      <c r="K10" s="3">
        <f>C10*1000000+(D10+100)*1000+E10*10+F10*0.1+5*0.001</f>
        <v>3100040.3049999997</v>
      </c>
      <c r="L10" s="3">
        <f>INDEX(Gironi!$D$61:$D$64,MATCH(3,Gironi!$K$61:$K$64,0))</f>
        <v>3</v>
      </c>
      <c r="M10" s="3">
        <f t="shared" si="2"/>
        <v>1</v>
      </c>
    </row>
    <row r="11" spans="1:13" x14ac:dyDescent="0.2">
      <c r="A11" s="13" t="s">
        <v>119</v>
      </c>
      <c r="B11" s="7" t="str">
        <f>INDEX(Gironi!$B$70:$B$73,MATCH(3,Gironi!$K$70:$K$73,0))</f>
        <v>Arabia Saudita</v>
      </c>
      <c r="C11" s="8">
        <f>INDEX(Gironi!$C$70:$C$73,MATCH(3,Gironi!$K$70:$K$73,0))</f>
        <v>3</v>
      </c>
      <c r="D11" s="8">
        <f>INDEX(Gironi!$J$70:$J$73,MATCH(3,Gironi!$K$70:$K$73,0))</f>
        <v>-3</v>
      </c>
      <c r="E11" s="8">
        <f>INDEX(Gironi!$H$70:$H$73,MATCH(3,Gironi!$K$70:$K$73,0))</f>
        <v>3</v>
      </c>
      <c r="F11" s="9">
        <v>0</v>
      </c>
      <c r="G11" s="8">
        <f t="shared" si="0"/>
        <v>10</v>
      </c>
      <c r="H11" s="8" t="str">
        <f t="shared" si="1"/>
        <v>NO</v>
      </c>
      <c r="K11" s="3">
        <f>C11*1000000+(D11+100)*1000+E11*10+F11*0.1+4*0.001</f>
        <v>3097030.0040000002</v>
      </c>
      <c r="L11" s="3">
        <f>INDEX(Gironi!$D$70:$D$73,MATCH(3,Gironi!$K$70:$K$73,0))</f>
        <v>3</v>
      </c>
      <c r="M11" s="3">
        <f t="shared" si="2"/>
        <v>0</v>
      </c>
    </row>
    <row r="12" spans="1:13" x14ac:dyDescent="0.2">
      <c r="A12" s="13" t="s">
        <v>120</v>
      </c>
      <c r="B12" s="7" t="str">
        <f>INDEX(Gironi!$B$79:$B$82,MATCH(3,Gironi!$K$79:$K$82,0))</f>
        <v>Senegal</v>
      </c>
      <c r="C12" s="8">
        <f>INDEX(Gironi!$C$79:$C$82,MATCH(3,Gironi!$K$79:$K$82,0))</f>
        <v>3</v>
      </c>
      <c r="D12" s="8">
        <f>INDEX(Gironi!$J$79:$J$82,MATCH(3,Gironi!$K$79:$K$82,0))</f>
        <v>0</v>
      </c>
      <c r="E12" s="8">
        <f>INDEX(Gironi!$H$79:$H$82,MATCH(3,Gironi!$K$79:$K$82,0))</f>
        <v>4</v>
      </c>
      <c r="F12" s="9">
        <v>2</v>
      </c>
      <c r="G12" s="8">
        <f t="shared" si="0"/>
        <v>5</v>
      </c>
      <c r="H12" s="8" t="str">
        <f t="shared" si="1"/>
        <v>SI</v>
      </c>
      <c r="K12" s="3">
        <f>C12*1000000+(D12+100)*1000+E12*10+F12*0.1+3*0.001</f>
        <v>3100040.2030000002</v>
      </c>
      <c r="L12" s="3">
        <f>INDEX(Gironi!$D$79:$D$82,MATCH(3,Gironi!$K$79:$K$82,0))</f>
        <v>3</v>
      </c>
      <c r="M12" s="3">
        <f t="shared" si="2"/>
        <v>1</v>
      </c>
    </row>
    <row r="13" spans="1:13" x14ac:dyDescent="0.2">
      <c r="A13" s="13" t="s">
        <v>121</v>
      </c>
      <c r="B13" s="7" t="str">
        <f>INDEX(Gironi!$B$88:$B$91,MATCH(3,Gironi!$K$88:$K$91,0))</f>
        <v>Algeria</v>
      </c>
      <c r="C13" s="8">
        <f>INDEX(Gironi!$C$88:$C$91,MATCH(3,Gironi!$K$88:$K$91,0))</f>
        <v>3</v>
      </c>
      <c r="D13" s="8">
        <f>INDEX(Gironi!$J$88:$J$91,MATCH(3,Gironi!$K$88:$K$91,0))</f>
        <v>-2</v>
      </c>
      <c r="E13" s="8">
        <f>INDEX(Gironi!$H$88:$H$91,MATCH(3,Gironi!$K$88:$K$91,0))</f>
        <v>3</v>
      </c>
      <c r="F13" s="9">
        <v>0</v>
      </c>
      <c r="G13" s="8">
        <f t="shared" si="0"/>
        <v>9</v>
      </c>
      <c r="H13" s="8" t="str">
        <f t="shared" si="1"/>
        <v>NO</v>
      </c>
      <c r="K13" s="3">
        <f>C13*1000000+(D13+100)*1000+E13*10+F13*0.1+2*0.001</f>
        <v>3098030.0019999999</v>
      </c>
      <c r="L13" s="3">
        <f>INDEX(Gironi!$D$88:$D$91,MATCH(3,Gironi!$K$88:$K$91,0))</f>
        <v>3</v>
      </c>
      <c r="M13" s="3">
        <f t="shared" si="2"/>
        <v>0</v>
      </c>
    </row>
    <row r="14" spans="1:13" x14ac:dyDescent="0.2">
      <c r="A14" s="13" t="s">
        <v>122</v>
      </c>
      <c r="B14" s="7" t="str">
        <f>INDEX(Gironi!$B$97:$B$100,MATCH(3,Gironi!$K$97:$K$100,0))</f>
        <v>RD Congo</v>
      </c>
      <c r="C14" s="8">
        <f>INDEX(Gironi!$C$97:$C$100,MATCH(3,Gironi!$K$97:$K$100,0))</f>
        <v>3</v>
      </c>
      <c r="D14" s="8">
        <f>INDEX(Gironi!$J$97:$J$100,MATCH(3,Gironi!$K$97:$K$100,0))</f>
        <v>-3</v>
      </c>
      <c r="E14" s="8">
        <f>INDEX(Gironi!$H$97:$H$100,MATCH(3,Gironi!$K$97:$K$100,0))</f>
        <v>2</v>
      </c>
      <c r="F14" s="9">
        <v>0</v>
      </c>
      <c r="G14" s="8">
        <f t="shared" si="0"/>
        <v>11</v>
      </c>
      <c r="H14" s="8" t="str">
        <f t="shared" si="1"/>
        <v>NO</v>
      </c>
      <c r="K14" s="3">
        <f>C14*1000000+(D14+100)*1000+E14*10+F14*0.1+1*0.001</f>
        <v>3097020.0010000002</v>
      </c>
      <c r="L14" s="3">
        <f>INDEX(Gironi!$D$97:$D$100,MATCH(3,Gironi!$K$97:$K$100,0))</f>
        <v>3</v>
      </c>
      <c r="M14" s="3">
        <f t="shared" si="2"/>
        <v>0</v>
      </c>
    </row>
    <row r="15" spans="1:13" x14ac:dyDescent="0.2">
      <c r="A15" s="13" t="s">
        <v>123</v>
      </c>
      <c r="B15" s="7" t="str">
        <f>INDEX(Gironi!$B$106:$B$109,MATCH(3,Gironi!$K$106:$K$109,0))</f>
        <v>Ghana</v>
      </c>
      <c r="C15" s="8">
        <f>INDEX(Gironi!$C$106:$C$109,MATCH(3,Gironi!$K$106:$K$109,0))</f>
        <v>4</v>
      </c>
      <c r="D15" s="8">
        <f>INDEX(Gironi!$J$106:$J$109,MATCH(3,Gironi!$K$106:$K$109,0))</f>
        <v>0</v>
      </c>
      <c r="E15" s="8">
        <f>INDEX(Gironi!$H$106:$H$109,MATCH(3,Gironi!$K$106:$K$109,0))</f>
        <v>2</v>
      </c>
      <c r="F15" s="9">
        <v>0</v>
      </c>
      <c r="G15" s="8">
        <f t="shared" si="0"/>
        <v>2</v>
      </c>
      <c r="H15" s="8" t="str">
        <f t="shared" si="1"/>
        <v>SI</v>
      </c>
      <c r="K15" s="3">
        <f>C15*1000000+(D15+100)*1000+E15*10+F15*0.1+0*0.001</f>
        <v>4100020</v>
      </c>
      <c r="L15" s="3">
        <f>INDEX(Gironi!$D$106:$D$109,MATCH(3,Gironi!$K$106:$K$109,0))</f>
        <v>3</v>
      </c>
      <c r="M15" s="3">
        <f t="shared" si="2"/>
        <v>0</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4"/>
      <c r="B22" s="15" t="s">
        <v>128</v>
      </c>
    </row>
    <row r="24" spans="1:3" x14ac:dyDescent="0.2">
      <c r="A24" s="2" t="s">
        <v>129</v>
      </c>
    </row>
    <row r="25" spans="1:3" x14ac:dyDescent="0.2">
      <c r="A25" s="12" t="s">
        <v>106</v>
      </c>
      <c r="B25" s="12" t="s">
        <v>130</v>
      </c>
      <c r="C25" s="12" t="s">
        <v>131</v>
      </c>
    </row>
    <row r="26" spans="1:3" x14ac:dyDescent="0.2">
      <c r="A26" s="13" t="s">
        <v>113</v>
      </c>
      <c r="B26" s="7" t="str">
        <f>INDEX(Gironi!$B$7:$B$10,MATCH(1,Gironi!$K$7:$K$10,0))</f>
        <v>Messico</v>
      </c>
      <c r="C26" s="7" t="str">
        <f>INDEX(Gironi!$B$7:$B$10,MATCH(2,Gironi!$K$7:$K$10,0))</f>
        <v>Cechia</v>
      </c>
    </row>
    <row r="27" spans="1:3" x14ac:dyDescent="0.2">
      <c r="A27" s="13" t="s">
        <v>114</v>
      </c>
      <c r="B27" s="7" t="str">
        <f>INDEX(Gironi!$B$16:$B$19,MATCH(1,Gironi!$K$16:$K$19,0))</f>
        <v>Svizzera</v>
      </c>
      <c r="C27" s="7" t="str">
        <f>INDEX(Gironi!$B$16:$B$19,MATCH(2,Gironi!$K$16:$K$19,0))</f>
        <v>Canada</v>
      </c>
    </row>
    <row r="28" spans="1:3" x14ac:dyDescent="0.2">
      <c r="A28" s="13" t="s">
        <v>115</v>
      </c>
      <c r="B28" s="7" t="str">
        <f>INDEX(Gironi!$B$25:$B$28,MATCH(1,Gironi!$K$25:$K$28,0))</f>
        <v>Brasile</v>
      </c>
      <c r="C28" s="7" t="str">
        <f>INDEX(Gironi!$B$25:$B$28,MATCH(2,Gironi!$K$25:$K$28,0))</f>
        <v>Marocco</v>
      </c>
    </row>
    <row r="29" spans="1:3" x14ac:dyDescent="0.2">
      <c r="A29" s="13" t="s">
        <v>116</v>
      </c>
      <c r="B29" s="7" t="str">
        <f>INDEX(Gironi!$B$34:$B$37,MATCH(1,Gironi!$K$34:$K$37,0))</f>
        <v>Turchia</v>
      </c>
      <c r="C29" s="7" t="str">
        <f>INDEX(Gironi!$B$34:$B$37,MATCH(2,Gironi!$K$34:$K$37,0))</f>
        <v>Stati Uniti</v>
      </c>
    </row>
    <row r="30" spans="1:3" x14ac:dyDescent="0.2">
      <c r="A30" s="13" t="s">
        <v>117</v>
      </c>
      <c r="B30" s="7" t="str">
        <f>INDEX(Gironi!$B$43:$B$46,MATCH(1,Gironi!$K$43:$K$46,0))</f>
        <v>Germania</v>
      </c>
      <c r="C30" s="7" t="str">
        <f>INDEX(Gironi!$B$43:$B$46,MATCH(2,Gironi!$K$43:$K$46,0))</f>
        <v>Costa d'Avorio</v>
      </c>
    </row>
    <row r="31" spans="1:3" x14ac:dyDescent="0.2">
      <c r="A31" s="13" t="s">
        <v>118</v>
      </c>
      <c r="B31" s="7" t="str">
        <f>INDEX(Gironi!$B$52:$B$55,MATCH(1,Gironi!$K$52:$K$55,0))</f>
        <v>Paesi Bassi</v>
      </c>
      <c r="C31" s="7" t="str">
        <f>INDEX(Gironi!$B$52:$B$55,MATCH(2,Gironi!$K$52:$K$55,0))</f>
        <v>Svezia</v>
      </c>
    </row>
    <row r="32" spans="1:3" x14ac:dyDescent="0.2">
      <c r="A32" s="13" t="s">
        <v>29</v>
      </c>
      <c r="B32" s="7" t="str">
        <f>INDEX(Gironi!$B$61:$B$64,MATCH(1,Gironi!$K$61:$K$64,0))</f>
        <v>Belgio</v>
      </c>
      <c r="C32" s="7" t="str">
        <f>INDEX(Gironi!$B$61:$B$64,MATCH(2,Gironi!$K$61:$K$64,0))</f>
        <v>Egitto</v>
      </c>
    </row>
    <row r="33" spans="1:3" x14ac:dyDescent="0.2">
      <c r="A33" s="13" t="s">
        <v>119</v>
      </c>
      <c r="B33" s="7" t="str">
        <f>INDEX(Gironi!$B$70:$B$73,MATCH(1,Gironi!$K$70:$K$73,0))</f>
        <v>Spagna</v>
      </c>
      <c r="C33" s="7" t="str">
        <f>INDEX(Gironi!$B$70:$B$73,MATCH(2,Gironi!$K$70:$K$73,0))</f>
        <v>Uruguay</v>
      </c>
    </row>
    <row r="34" spans="1:3" x14ac:dyDescent="0.2">
      <c r="A34" s="13" t="s">
        <v>120</v>
      </c>
      <c r="B34" s="7" t="str">
        <f>INDEX(Gironi!$B$79:$B$82,MATCH(1,Gironi!$K$79:$K$82,0))</f>
        <v>Francia</v>
      </c>
      <c r="C34" s="7" t="str">
        <f>INDEX(Gironi!$B$79:$B$82,MATCH(2,Gironi!$K$79:$K$82,0))</f>
        <v>Norvegia</v>
      </c>
    </row>
    <row r="35" spans="1:3" x14ac:dyDescent="0.2">
      <c r="A35" s="13" t="s">
        <v>121</v>
      </c>
      <c r="B35" s="7" t="str">
        <f>INDEX(Gironi!$B$88:$B$91,MATCH(1,Gironi!$K$88:$K$91,0))</f>
        <v>Argentina</v>
      </c>
      <c r="C35" s="7" t="str">
        <f>INDEX(Gironi!$B$88:$B$91,MATCH(2,Gironi!$K$88:$K$91,0))</f>
        <v>Austria</v>
      </c>
    </row>
    <row r="36" spans="1:3" x14ac:dyDescent="0.2">
      <c r="A36" s="13" t="s">
        <v>122</v>
      </c>
      <c r="B36" s="7" t="str">
        <f>INDEX(Gironi!$B$97:$B$100,MATCH(1,Gironi!$K$97:$K$100,0))</f>
        <v>Portogallo</v>
      </c>
      <c r="C36" s="7" t="str">
        <f>INDEX(Gironi!$B$97:$B$100,MATCH(2,Gironi!$K$97:$K$100,0))</f>
        <v>Colombia</v>
      </c>
    </row>
    <row r="37" spans="1:3" x14ac:dyDescent="0.2">
      <c r="A37" s="13" t="s">
        <v>123</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tabSelected="1" topLeftCell="A4" workbookViewId="0">
      <selection activeCell="F19" sqref="F19"/>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1" t="s">
        <v>134</v>
      </c>
      <c r="AD2" s="3">
        <f>SUMPRODUCT((Qualificate!$H$4:$H$15="SI")*2^(CODE(Qualificate!$A$4:$A$15)-65))</f>
        <v>2423</v>
      </c>
    </row>
    <row r="3" spans="1:31" x14ac:dyDescent="0.2">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x14ac:dyDescent="0.2">
      <c r="A4" s="8">
        <v>73</v>
      </c>
      <c r="B4" s="8" t="s">
        <v>144</v>
      </c>
      <c r="C4" s="7" t="s">
        <v>145</v>
      </c>
      <c r="D4" s="7" t="str">
        <f>Qualificate!$C$26</f>
        <v>Cechia</v>
      </c>
      <c r="E4" s="9">
        <v>1</v>
      </c>
      <c r="F4" s="9">
        <v>2</v>
      </c>
      <c r="G4" s="7" t="str">
        <f>Qualificate!$C$27</f>
        <v>Canada</v>
      </c>
      <c r="H4" s="8" t="str">
        <f t="shared" ref="H4:H35" si="0">IF(AND(ISNUMBER(E4),ISNUMBER(F4)),IF(E4&gt;F4,D4,IF(F4&gt;E4,G4,IF(J4="","",J4))),"")</f>
        <v>Canada</v>
      </c>
      <c r="I4" s="8" t="str">
        <f t="shared" ref="I4:I35" si="1">IF(H4="","",IF(H4=D4,G4,D4))</f>
        <v>Cechia</v>
      </c>
      <c r="J4" s="9"/>
      <c r="K4" s="7" t="s">
        <v>146</v>
      </c>
      <c r="L4" s="7"/>
      <c r="AB4" s="3" t="str">
        <f t="shared" ref="AB4:AB35" si="2">IF(D4="","",D4)</f>
        <v>Cechia</v>
      </c>
      <c r="AC4" s="3" t="str">
        <f t="shared" ref="AC4:AC35" si="3">IF(G4="","",G4)</f>
        <v>Canada</v>
      </c>
      <c r="AD4" s="3">
        <f>IFERROR(MATCH(AD2,Matrice!$J$2:$J$496,0),0)</f>
        <v>419</v>
      </c>
    </row>
    <row r="5" spans="1:31" x14ac:dyDescent="0.2">
      <c r="A5" s="8">
        <v>74</v>
      </c>
      <c r="B5" s="8" t="s">
        <v>147</v>
      </c>
      <c r="C5" s="7" t="s">
        <v>145</v>
      </c>
      <c r="D5" s="7" t="str">
        <f>Qualificate!$B$30</f>
        <v>Germania</v>
      </c>
      <c r="E5" s="9">
        <v>3</v>
      </c>
      <c r="F5" s="9">
        <v>1</v>
      </c>
      <c r="G5" s="16" t="str">
        <f>IF(AND($AD$6=1,$AD$4&gt;0),IFERROR(INDEX(Qualificate!$B$4:$B$15,MATCH(RIGHT(INDEX(Matrice!$B$2:$I$496,$AD$4,MATCH("1E",Matrice!$B$1:$I$1,0)),1),Qualificate!$A$4:$A$15,0)),""),"")</f>
        <v>Scozia</v>
      </c>
      <c r="H5" s="8" t="str">
        <f t="shared" si="0"/>
        <v>Germania</v>
      </c>
      <c r="I5" s="8" t="str">
        <f t="shared" si="1"/>
        <v>Scozia</v>
      </c>
      <c r="J5" s="9"/>
      <c r="K5" s="7" t="s">
        <v>148</v>
      </c>
      <c r="L5" s="8" t="str">
        <f>IF($AD$6=1,"OK (auto)","completa i gironi")</f>
        <v>OK (auto)</v>
      </c>
      <c r="AB5" s="3" t="str">
        <f t="shared" si="2"/>
        <v>Germania</v>
      </c>
      <c r="AC5" s="3" t="str">
        <f t="shared" si="3"/>
        <v>Scozia</v>
      </c>
      <c r="AD5" s="3" t="s">
        <v>143</v>
      </c>
    </row>
    <row r="6" spans="1:31" x14ac:dyDescent="0.2">
      <c r="A6" s="8">
        <v>75</v>
      </c>
      <c r="B6" s="8" t="s">
        <v>147</v>
      </c>
      <c r="C6" s="7" t="s">
        <v>145</v>
      </c>
      <c r="D6" s="7" t="str">
        <f>Qualificate!$B$31</f>
        <v>Paesi Bassi</v>
      </c>
      <c r="E6" s="9">
        <v>1</v>
      </c>
      <c r="F6" s="9">
        <v>2</v>
      </c>
      <c r="G6" s="7" t="str">
        <f>Qualificate!$C$28</f>
        <v>Marocco</v>
      </c>
      <c r="H6" s="8" t="str">
        <f t="shared" si="0"/>
        <v>Marocco</v>
      </c>
      <c r="I6" s="8" t="str">
        <f t="shared" si="1"/>
        <v>Paesi Bassi</v>
      </c>
      <c r="J6" s="9"/>
      <c r="K6" s="7" t="s">
        <v>149</v>
      </c>
      <c r="L6" s="7"/>
      <c r="AB6" s="3" t="str">
        <f t="shared" si="2"/>
        <v>Paesi Bassi</v>
      </c>
      <c r="AC6" s="3" t="str">
        <f t="shared" si="3"/>
        <v>Marocco</v>
      </c>
      <c r="AD6" s="3">
        <f>IF(SUMPRODUCT((Qualificate!$L$4:$L$15=3)*1)=12,1,0)</f>
        <v>1</v>
      </c>
    </row>
    <row r="7" spans="1:31" x14ac:dyDescent="0.2">
      <c r="A7" s="8">
        <v>76</v>
      </c>
      <c r="B7" s="8" t="s">
        <v>147</v>
      </c>
      <c r="C7" s="7" t="s">
        <v>145</v>
      </c>
      <c r="D7" s="7" t="str">
        <f>Qualificate!$B$28</f>
        <v>Brasile</v>
      </c>
      <c r="E7" s="9">
        <v>2</v>
      </c>
      <c r="F7" s="9">
        <v>0</v>
      </c>
      <c r="G7" s="7" t="str">
        <f>Qualificate!$C$31</f>
        <v>Svezia</v>
      </c>
      <c r="H7" s="8" t="str">
        <f t="shared" si="0"/>
        <v>Brasile</v>
      </c>
      <c r="I7" s="8" t="str">
        <f t="shared" si="1"/>
        <v>Svezia</v>
      </c>
      <c r="J7" s="9"/>
      <c r="K7" s="7" t="s">
        <v>150</v>
      </c>
      <c r="L7" s="7"/>
      <c r="AB7" s="3" t="str">
        <f t="shared" si="2"/>
        <v>Brasile</v>
      </c>
      <c r="AC7" s="3" t="str">
        <f t="shared" si="3"/>
        <v>Svezia</v>
      </c>
    </row>
    <row r="8" spans="1:31" x14ac:dyDescent="0.2">
      <c r="A8" s="8">
        <v>77</v>
      </c>
      <c r="B8" s="8" t="s">
        <v>151</v>
      </c>
      <c r="C8" s="7" t="s">
        <v>145</v>
      </c>
      <c r="D8" s="7" t="str">
        <f>Qualificate!$B$34</f>
        <v>Francia</v>
      </c>
      <c r="E8" s="9">
        <v>3</v>
      </c>
      <c r="F8" s="9">
        <v>0</v>
      </c>
      <c r="G8" s="16" t="str">
        <f>IF(AND($AD$6=1,$AD$4&gt;0),IFERROR(INDEX(Qualificate!$B$4:$B$15,MATCH(RIGHT(INDEX(Matrice!$B$2:$I$496,$AD$4,MATCH("1I",Matrice!$B$1:$I$1,0)),1),Qualificate!$A$4:$A$15,0)),""),"")</f>
        <v>Giappone</v>
      </c>
      <c r="H8" s="8" t="str">
        <f t="shared" si="0"/>
        <v>Francia</v>
      </c>
      <c r="I8" s="8" t="str">
        <f t="shared" si="1"/>
        <v>Giappone</v>
      </c>
      <c r="J8" s="9"/>
      <c r="K8" s="7" t="s">
        <v>152</v>
      </c>
      <c r="L8" s="8" t="str">
        <f>IF($AD$6=1,"OK (auto)","completa i gironi")</f>
        <v>OK (auto)</v>
      </c>
      <c r="AB8" s="3" t="str">
        <f t="shared" si="2"/>
        <v>Francia</v>
      </c>
      <c r="AC8" s="3" t="str">
        <f t="shared" si="3"/>
        <v>Giappone</v>
      </c>
    </row>
    <row r="9" spans="1:31" x14ac:dyDescent="0.2">
      <c r="A9" s="8">
        <v>78</v>
      </c>
      <c r="B9" s="8" t="s">
        <v>151</v>
      </c>
      <c r="C9" s="7" t="s">
        <v>145</v>
      </c>
      <c r="D9" s="7" t="str">
        <f>Qualificate!$C$30</f>
        <v>Costa d'Avorio</v>
      </c>
      <c r="E9" s="9">
        <v>1</v>
      </c>
      <c r="F9" s="9">
        <v>2</v>
      </c>
      <c r="G9" s="7" t="str">
        <f>Qualificate!$C$34</f>
        <v>Norvegia</v>
      </c>
      <c r="H9" s="8" t="str">
        <f t="shared" si="0"/>
        <v>Norvegia</v>
      </c>
      <c r="I9" s="8" t="str">
        <f t="shared" si="1"/>
        <v>Costa d'Avorio</v>
      </c>
      <c r="J9" s="9"/>
      <c r="K9" s="7" t="s">
        <v>153</v>
      </c>
      <c r="L9" s="7"/>
      <c r="AB9" s="3" t="str">
        <f t="shared" si="2"/>
        <v>Costa d'Avorio</v>
      </c>
      <c r="AC9" s="3" t="str">
        <f t="shared" si="3"/>
        <v>Norvegia</v>
      </c>
    </row>
    <row r="10" spans="1:31" x14ac:dyDescent="0.2">
      <c r="A10" s="8">
        <v>79</v>
      </c>
      <c r="B10" s="8" t="s">
        <v>151</v>
      </c>
      <c r="C10" s="7" t="s">
        <v>145</v>
      </c>
      <c r="D10" s="7" t="str">
        <f>Qualificate!$B$26</f>
        <v>Messico</v>
      </c>
      <c r="E10" s="9">
        <v>1</v>
      </c>
      <c r="F10" s="9">
        <v>0</v>
      </c>
      <c r="G10" s="16" t="str">
        <f>IF(AND($AD$6=1,$AD$4&gt;0),IFERROR(INDEX(Qualificate!$B$4:$B$15,MATCH(RIGHT(INDEX(Matrice!$B$2:$I$496,$AD$4,MATCH("1A",Matrice!$B$1:$I$1,0)),1),Qualificate!$A$4:$A$15,0)),""),"")</f>
        <v>Ecuador</v>
      </c>
      <c r="H10" s="8" t="str">
        <f t="shared" si="0"/>
        <v>Messico</v>
      </c>
      <c r="I10" s="8" t="str">
        <f t="shared" si="1"/>
        <v>Ecuador</v>
      </c>
      <c r="J10" s="9"/>
      <c r="K10" s="7" t="s">
        <v>154</v>
      </c>
      <c r="L10" s="8" t="str">
        <f>IF($AD$6=1,"OK (auto)","completa i gironi")</f>
        <v>OK (auto)</v>
      </c>
      <c r="AB10" s="3" t="str">
        <f t="shared" si="2"/>
        <v>Messico</v>
      </c>
      <c r="AC10" s="3" t="str">
        <f t="shared" si="3"/>
        <v>Ecuador</v>
      </c>
    </row>
    <row r="11" spans="1:31" x14ac:dyDescent="0.2">
      <c r="A11" s="8">
        <v>80</v>
      </c>
      <c r="B11" s="10">
        <v>46029</v>
      </c>
      <c r="C11" s="7" t="s">
        <v>145</v>
      </c>
      <c r="D11" s="7" t="str">
        <f>Qualificate!$B$37</f>
        <v>Inghilterra</v>
      </c>
      <c r="E11" s="9">
        <v>2</v>
      </c>
      <c r="F11" s="9">
        <v>1</v>
      </c>
      <c r="G11" s="16" t="str">
        <f>IF(AND($AD$6=1,$AD$4&gt;0),IFERROR(INDEX(Qualificate!$B$4:$B$15,MATCH(RIGHT(INDEX(Matrice!$B$2:$I$496,$AD$4,MATCH("1L",Matrice!$B$1:$I$1,0)),1),Qualificate!$A$4:$A$15,0)),""),"")</f>
        <v>Senegal</v>
      </c>
      <c r="H11" s="8" t="str">
        <f t="shared" si="0"/>
        <v>Inghilterra</v>
      </c>
      <c r="I11" s="8" t="str">
        <f t="shared" si="1"/>
        <v>Senegal</v>
      </c>
      <c r="J11" s="9"/>
      <c r="K11" s="7" t="s">
        <v>155</v>
      </c>
      <c r="L11" s="8" t="str">
        <f>IF($AD$6=1,"OK (auto)","completa i gironi")</f>
        <v>OK (auto)</v>
      </c>
      <c r="AB11" s="3" t="str">
        <f t="shared" si="2"/>
        <v>Inghilterra</v>
      </c>
      <c r="AC11" s="3" t="str">
        <f t="shared" si="3"/>
        <v>Senegal</v>
      </c>
    </row>
    <row r="12" spans="1:31" x14ac:dyDescent="0.2">
      <c r="A12" s="8">
        <v>81</v>
      </c>
      <c r="B12" s="10">
        <v>46029</v>
      </c>
      <c r="C12" s="7" t="s">
        <v>145</v>
      </c>
      <c r="D12" s="7" t="str">
        <f>Qualificate!$B$29</f>
        <v>Turchia</v>
      </c>
      <c r="E12" s="9">
        <v>2</v>
      </c>
      <c r="F12" s="9">
        <v>1</v>
      </c>
      <c r="G12" s="16" t="str">
        <f>IF(AND($AD$6=1,$AD$4&gt;0),IFERROR(INDEX(Qualificate!$B$4:$B$15,MATCH(RIGHT(INDEX(Matrice!$B$2:$I$496,$AD$4,MATCH("1D",Matrice!$B$1:$I$1,0)),1),Qualificate!$A$4:$A$15,0)),""),"")</f>
        <v>Bosnia ed Erzegovina</v>
      </c>
      <c r="H12" s="8" t="str">
        <f t="shared" si="0"/>
        <v>Turchia</v>
      </c>
      <c r="I12" s="8" t="str">
        <f t="shared" si="1"/>
        <v>Bosnia ed Erzegovina</v>
      </c>
      <c r="J12" s="9"/>
      <c r="K12" s="7" t="s">
        <v>156</v>
      </c>
      <c r="L12" s="8" t="str">
        <f>IF($AD$6=1,"OK (auto)","completa i gironi")</f>
        <v>OK (auto)</v>
      </c>
      <c r="AB12" s="3" t="str">
        <f t="shared" si="2"/>
        <v>Turchia</v>
      </c>
      <c r="AC12" s="3" t="str">
        <f t="shared" si="3"/>
        <v>Bosnia ed Erzegovina</v>
      </c>
    </row>
    <row r="13" spans="1:31" x14ac:dyDescent="0.2">
      <c r="A13" s="8">
        <v>82</v>
      </c>
      <c r="B13" s="10">
        <v>46029</v>
      </c>
      <c r="C13" s="7" t="s">
        <v>145</v>
      </c>
      <c r="D13" s="7" t="str">
        <f>Qualificate!$B$32</f>
        <v>Belgio</v>
      </c>
      <c r="E13" s="9">
        <v>2</v>
      </c>
      <c r="F13" s="9">
        <v>0</v>
      </c>
      <c r="G13" s="16" t="str">
        <f>IF(AND($AD$6=1,$AD$4&gt;0),IFERROR(INDEX(Qualificate!$B$4:$B$15,MATCH(RIGHT(INDEX(Matrice!$B$2:$I$496,$AD$4,MATCH("1G",Matrice!$B$1:$I$1,0)),1),Qualificate!$A$4:$A$15,0)),""),"")</f>
        <v>Corea del Sud</v>
      </c>
      <c r="H13" s="8" t="str">
        <f t="shared" si="0"/>
        <v>Belgio</v>
      </c>
      <c r="I13" s="8" t="str">
        <f t="shared" si="1"/>
        <v>Corea del Sud</v>
      </c>
      <c r="J13" s="9"/>
      <c r="K13" s="7" t="s">
        <v>157</v>
      </c>
      <c r="L13" s="8" t="str">
        <f>IF($AD$6=1,"OK (auto)","completa i gironi")</f>
        <v>OK (auto)</v>
      </c>
      <c r="AB13" s="3" t="str">
        <f t="shared" si="2"/>
        <v>Belgio</v>
      </c>
      <c r="AC13" s="3" t="str">
        <f t="shared" si="3"/>
        <v>Corea del Sud</v>
      </c>
    </row>
    <row r="14" spans="1:31" x14ac:dyDescent="0.2">
      <c r="A14" s="8">
        <v>83</v>
      </c>
      <c r="B14" s="10">
        <v>46060</v>
      </c>
      <c r="C14" s="7" t="s">
        <v>145</v>
      </c>
      <c r="D14" s="7" t="str">
        <f>Qualificate!$C$36</f>
        <v>Colombia</v>
      </c>
      <c r="E14" s="9">
        <v>2</v>
      </c>
      <c r="F14" s="9">
        <v>1</v>
      </c>
      <c r="G14" s="7" t="str">
        <f>Qualificate!$C$37</f>
        <v>Croazia</v>
      </c>
      <c r="H14" s="8" t="str">
        <f t="shared" si="0"/>
        <v>Colombia</v>
      </c>
      <c r="I14" s="8" t="str">
        <f t="shared" si="1"/>
        <v>Croazia</v>
      </c>
      <c r="J14" s="9"/>
      <c r="K14" s="7" t="s">
        <v>158</v>
      </c>
      <c r="L14" s="7"/>
      <c r="AB14" s="3" t="str">
        <f t="shared" si="2"/>
        <v>Colombia</v>
      </c>
      <c r="AC14" s="3" t="str">
        <f t="shared" si="3"/>
        <v>Croazia</v>
      </c>
    </row>
    <row r="15" spans="1:31" x14ac:dyDescent="0.2">
      <c r="A15" s="8">
        <v>84</v>
      </c>
      <c r="B15" s="10">
        <v>46060</v>
      </c>
      <c r="C15" s="7" t="s">
        <v>145</v>
      </c>
      <c r="D15" s="7" t="str">
        <f>Qualificate!$B$33</f>
        <v>Spagna</v>
      </c>
      <c r="E15" s="9">
        <v>3</v>
      </c>
      <c r="F15" s="9">
        <v>1</v>
      </c>
      <c r="G15" s="7" t="str">
        <f>Qualificate!$C$35</f>
        <v>Austria</v>
      </c>
      <c r="H15" s="8" t="str">
        <f t="shared" si="0"/>
        <v>Spagna</v>
      </c>
      <c r="I15" s="8" t="str">
        <f t="shared" si="1"/>
        <v>Austria</v>
      </c>
      <c r="J15" s="9"/>
      <c r="K15" s="7" t="s">
        <v>159</v>
      </c>
      <c r="L15" s="7"/>
      <c r="AB15" s="3" t="str">
        <f t="shared" si="2"/>
        <v>Spagna</v>
      </c>
      <c r="AC15" s="3" t="str">
        <f t="shared" si="3"/>
        <v>Austria</v>
      </c>
    </row>
    <row r="16" spans="1:31" x14ac:dyDescent="0.2">
      <c r="A16" s="8">
        <v>85</v>
      </c>
      <c r="B16" s="10">
        <v>46060</v>
      </c>
      <c r="C16" s="7" t="s">
        <v>145</v>
      </c>
      <c r="D16" s="7" t="str">
        <f>Qualificate!$B$27</f>
        <v>Svizzera</v>
      </c>
      <c r="E16" s="9">
        <v>3</v>
      </c>
      <c r="F16" s="9">
        <v>1</v>
      </c>
      <c r="G16" s="16" t="str">
        <f>IF(AND($AD$6=1,$AD$4&gt;0),IFERROR(INDEX(Qualificate!$B$4:$B$15,MATCH(RIGHT(INDEX(Matrice!$B$2:$I$496,$AD$4,MATCH("1B",Matrice!$B$1:$I$1,0)),1),Qualificate!$A$4:$A$15,0)),""),"")</f>
        <v>Iran</v>
      </c>
      <c r="H16" s="8" t="str">
        <f t="shared" si="0"/>
        <v>Svizzera</v>
      </c>
      <c r="I16" s="8" t="str">
        <f t="shared" si="1"/>
        <v>Iran</v>
      </c>
      <c r="J16" s="9"/>
      <c r="K16" s="7" t="s">
        <v>160</v>
      </c>
      <c r="L16" s="8" t="str">
        <f>IF($AD$6=1,"OK (auto)","completa i gironi")</f>
        <v>OK (auto)</v>
      </c>
      <c r="AB16" s="3" t="str">
        <f t="shared" si="2"/>
        <v>Svizzera</v>
      </c>
      <c r="AC16" s="3" t="str">
        <f t="shared" si="3"/>
        <v>Iran</v>
      </c>
    </row>
    <row r="17" spans="1:29" x14ac:dyDescent="0.2">
      <c r="A17" s="8">
        <v>86</v>
      </c>
      <c r="B17" s="10">
        <v>46088</v>
      </c>
      <c r="C17" s="7" t="s">
        <v>145</v>
      </c>
      <c r="D17" s="7" t="str">
        <f>Qualificate!$B$35</f>
        <v>Argentina</v>
      </c>
      <c r="E17" s="9">
        <v>2</v>
      </c>
      <c r="F17" s="9">
        <v>2</v>
      </c>
      <c r="G17" s="7" t="str">
        <f>Qualificate!$C$33</f>
        <v>Uruguay</v>
      </c>
      <c r="H17" s="8" t="str">
        <f t="shared" si="0"/>
        <v>Argentina</v>
      </c>
      <c r="I17" s="8" t="str">
        <f t="shared" si="1"/>
        <v>Uruguay</v>
      </c>
      <c r="J17" s="9" t="s">
        <v>89</v>
      </c>
      <c r="K17" s="7" t="s">
        <v>161</v>
      </c>
      <c r="L17" s="7"/>
      <c r="AB17" s="3" t="str">
        <f t="shared" si="2"/>
        <v>Argentina</v>
      </c>
      <c r="AC17" s="3" t="str">
        <f t="shared" si="3"/>
        <v>Uruguay</v>
      </c>
    </row>
    <row r="18" spans="1:29" x14ac:dyDescent="0.2">
      <c r="A18" s="8">
        <v>87</v>
      </c>
      <c r="B18" s="10">
        <v>46088</v>
      </c>
      <c r="C18" s="7" t="s">
        <v>145</v>
      </c>
      <c r="D18" s="7" t="str">
        <f>Qualificate!$B$36</f>
        <v>Portogallo</v>
      </c>
      <c r="E18" s="9">
        <v>2</v>
      </c>
      <c r="F18" s="9">
        <v>1</v>
      </c>
      <c r="G18" s="16" t="str">
        <f>IF(AND($AD$6=1,$AD$4&gt;0),IFERROR(INDEX(Qualificate!$B$4:$B$15,MATCH(RIGHT(INDEX(Matrice!$B$2:$I$496,$AD$4,MATCH("1K",Matrice!$B$1:$I$1,0)),1),Qualificate!$A$4:$A$15,0)),""),"")</f>
        <v>Ghana</v>
      </c>
      <c r="H18" s="8" t="str">
        <f t="shared" si="0"/>
        <v>Portogallo</v>
      </c>
      <c r="I18" s="8" t="str">
        <f t="shared" si="1"/>
        <v>Ghana</v>
      </c>
      <c r="J18" s="9"/>
      <c r="K18" s="7" t="s">
        <v>162</v>
      </c>
      <c r="L18" s="8" t="str">
        <f>IF($AD$6=1,"OK (auto)","completa i gironi")</f>
        <v>OK (auto)</v>
      </c>
      <c r="AB18" s="3" t="str">
        <f t="shared" si="2"/>
        <v>Portogallo</v>
      </c>
      <c r="AC18" s="3" t="str">
        <f t="shared" si="3"/>
        <v>Ghana</v>
      </c>
    </row>
    <row r="19" spans="1:29" x14ac:dyDescent="0.2">
      <c r="A19" s="8">
        <v>88</v>
      </c>
      <c r="B19" s="10">
        <v>46088</v>
      </c>
      <c r="C19" s="7" t="s">
        <v>145</v>
      </c>
      <c r="D19" s="7" t="str">
        <f>Qualificate!$C$29</f>
        <v>Stati Uniti</v>
      </c>
      <c r="E19" s="9">
        <v>0</v>
      </c>
      <c r="F19" s="9">
        <v>2</v>
      </c>
      <c r="G19" s="7" t="str">
        <f>Qualificate!$C$32</f>
        <v>Egitto</v>
      </c>
      <c r="H19" s="8" t="str">
        <f t="shared" si="0"/>
        <v>Egitto</v>
      </c>
      <c r="I19" s="8" t="str">
        <f t="shared" si="1"/>
        <v>Stati Uniti</v>
      </c>
      <c r="J19" s="9"/>
      <c r="K19" s="7" t="s">
        <v>163</v>
      </c>
      <c r="L19" s="7"/>
      <c r="AB19" s="3" t="str">
        <f t="shared" si="2"/>
        <v>Stati Uniti</v>
      </c>
      <c r="AC19" s="3" t="str">
        <f t="shared" si="3"/>
        <v>Egitto</v>
      </c>
    </row>
    <row r="20" spans="1:29" x14ac:dyDescent="0.2">
      <c r="A20" s="8">
        <v>89</v>
      </c>
      <c r="B20" s="10">
        <v>46119</v>
      </c>
      <c r="C20" s="7" t="s">
        <v>164</v>
      </c>
      <c r="D20" s="7" t="str">
        <f>Tabellone!$H$5</f>
        <v>Germania</v>
      </c>
      <c r="E20" s="9">
        <v>2</v>
      </c>
      <c r="F20" s="9">
        <v>1</v>
      </c>
      <c r="G20" s="7" t="str">
        <f>Tabellone!$H$8</f>
        <v>Francia</v>
      </c>
      <c r="H20" s="8" t="str">
        <f t="shared" si="0"/>
        <v>Germania</v>
      </c>
      <c r="I20" s="8" t="str">
        <f t="shared" si="1"/>
        <v>Francia</v>
      </c>
      <c r="J20" s="9"/>
      <c r="K20" s="7" t="s">
        <v>165</v>
      </c>
      <c r="L20" s="7"/>
      <c r="AB20" s="3" t="str">
        <f t="shared" si="2"/>
        <v>Germania</v>
      </c>
      <c r="AC20" s="3" t="str">
        <f t="shared" si="3"/>
        <v>Francia</v>
      </c>
    </row>
    <row r="21" spans="1:29" x14ac:dyDescent="0.2">
      <c r="A21" s="8">
        <v>90</v>
      </c>
      <c r="B21" s="10">
        <v>46119</v>
      </c>
      <c r="C21" s="7" t="s">
        <v>164</v>
      </c>
      <c r="D21" s="7" t="str">
        <f>Tabellone!$H$4</f>
        <v>Canada</v>
      </c>
      <c r="E21" s="9">
        <v>0</v>
      </c>
      <c r="F21" s="9">
        <v>1</v>
      </c>
      <c r="G21" s="7" t="str">
        <f>Tabellone!$H$6</f>
        <v>Marocco</v>
      </c>
      <c r="H21" s="8" t="str">
        <f t="shared" si="0"/>
        <v>Marocco</v>
      </c>
      <c r="I21" s="8" t="str">
        <f t="shared" si="1"/>
        <v>Canada</v>
      </c>
      <c r="J21" s="9"/>
      <c r="K21" s="7" t="s">
        <v>166</v>
      </c>
      <c r="L21" s="7"/>
      <c r="AB21" s="3" t="str">
        <f t="shared" si="2"/>
        <v>Canada</v>
      </c>
      <c r="AC21" s="3" t="str">
        <f t="shared" si="3"/>
        <v>Marocco</v>
      </c>
    </row>
    <row r="22" spans="1:29" x14ac:dyDescent="0.2">
      <c r="A22" s="8">
        <v>91</v>
      </c>
      <c r="B22" s="10">
        <v>46149</v>
      </c>
      <c r="C22" s="7" t="s">
        <v>164</v>
      </c>
      <c r="D22" s="7" t="str">
        <f>Tabellone!$H$7</f>
        <v>Brasile</v>
      </c>
      <c r="E22" s="9">
        <v>3</v>
      </c>
      <c r="F22" s="9">
        <v>1</v>
      </c>
      <c r="G22" s="7" t="str">
        <f>Tabellone!$H$9</f>
        <v>Norvegia</v>
      </c>
      <c r="H22" s="8" t="str">
        <f t="shared" si="0"/>
        <v>Brasile</v>
      </c>
      <c r="I22" s="8" t="str">
        <f t="shared" si="1"/>
        <v>Norvegia</v>
      </c>
      <c r="J22" s="9"/>
      <c r="K22" s="7" t="s">
        <v>167</v>
      </c>
      <c r="L22" s="7"/>
      <c r="AB22" s="3" t="str">
        <f t="shared" si="2"/>
        <v>Brasile</v>
      </c>
      <c r="AC22" s="3" t="str">
        <f t="shared" si="3"/>
        <v>Norvegia</v>
      </c>
    </row>
    <row r="23" spans="1:29" x14ac:dyDescent="0.2">
      <c r="A23" s="8">
        <v>92</v>
      </c>
      <c r="B23" s="10">
        <v>46149</v>
      </c>
      <c r="C23" s="7" t="s">
        <v>164</v>
      </c>
      <c r="D23" s="7" t="str">
        <f>Tabellone!$H$10</f>
        <v>Messico</v>
      </c>
      <c r="E23" s="9">
        <v>1</v>
      </c>
      <c r="F23" s="9">
        <v>2</v>
      </c>
      <c r="G23" s="7" t="str">
        <f>Tabellone!$H$11</f>
        <v>Inghilterra</v>
      </c>
      <c r="H23" s="8" t="str">
        <f t="shared" si="0"/>
        <v>Inghilterra</v>
      </c>
      <c r="I23" s="8" t="str">
        <f t="shared" si="1"/>
        <v>Messico</v>
      </c>
      <c r="J23" s="9"/>
      <c r="K23" s="7" t="s">
        <v>168</v>
      </c>
      <c r="L23" s="7"/>
      <c r="AB23" s="3" t="str">
        <f t="shared" si="2"/>
        <v>Messico</v>
      </c>
      <c r="AC23" s="3" t="str">
        <f t="shared" si="3"/>
        <v>Inghilterra</v>
      </c>
    </row>
    <row r="24" spans="1:29" x14ac:dyDescent="0.2">
      <c r="A24" s="8">
        <v>93</v>
      </c>
      <c r="B24" s="10">
        <v>46180</v>
      </c>
      <c r="C24" s="7" t="s">
        <v>164</v>
      </c>
      <c r="D24" s="7" t="str">
        <f>Tabellone!$H$14</f>
        <v>Colombia</v>
      </c>
      <c r="E24" s="9">
        <v>1</v>
      </c>
      <c r="F24" s="9">
        <v>2</v>
      </c>
      <c r="G24" s="7" t="str">
        <f>Tabellone!$H$15</f>
        <v>Spagna</v>
      </c>
      <c r="H24" s="8" t="str">
        <f t="shared" si="0"/>
        <v>Spagna</v>
      </c>
      <c r="I24" s="8" t="str">
        <f t="shared" si="1"/>
        <v>Colombia</v>
      </c>
      <c r="J24" s="9"/>
      <c r="K24" s="7" t="s">
        <v>169</v>
      </c>
      <c r="L24" s="7"/>
      <c r="AB24" s="3" t="str">
        <f t="shared" si="2"/>
        <v>Colombia</v>
      </c>
      <c r="AC24" s="3" t="str">
        <f t="shared" si="3"/>
        <v>Spagna</v>
      </c>
    </row>
    <row r="25" spans="1:29" x14ac:dyDescent="0.2">
      <c r="A25" s="8">
        <v>94</v>
      </c>
      <c r="B25" s="10">
        <v>46180</v>
      </c>
      <c r="C25" s="7" t="s">
        <v>164</v>
      </c>
      <c r="D25" s="7" t="str">
        <f>Tabellone!$H$12</f>
        <v>Turchia</v>
      </c>
      <c r="E25" s="9">
        <v>1</v>
      </c>
      <c r="F25" s="9">
        <v>0</v>
      </c>
      <c r="G25" s="7" t="str">
        <f>Tabellone!$H$13</f>
        <v>Belgio</v>
      </c>
      <c r="H25" s="8" t="str">
        <f t="shared" si="0"/>
        <v>Turchia</v>
      </c>
      <c r="I25" s="8" t="str">
        <f t="shared" si="1"/>
        <v>Belgio</v>
      </c>
      <c r="J25" s="9"/>
      <c r="K25" s="7" t="s">
        <v>170</v>
      </c>
      <c r="L25" s="7"/>
      <c r="AB25" s="3" t="str">
        <f t="shared" si="2"/>
        <v>Turchia</v>
      </c>
      <c r="AC25" s="3" t="str">
        <f t="shared" si="3"/>
        <v>Belgio</v>
      </c>
    </row>
    <row r="26" spans="1:29" x14ac:dyDescent="0.2">
      <c r="A26" s="8">
        <v>95</v>
      </c>
      <c r="B26" s="10">
        <v>46210</v>
      </c>
      <c r="C26" s="7" t="s">
        <v>164</v>
      </c>
      <c r="D26" s="7" t="str">
        <f>Tabellone!$H$17</f>
        <v>Argentina</v>
      </c>
      <c r="E26" s="9">
        <v>2</v>
      </c>
      <c r="F26" s="9">
        <v>1</v>
      </c>
      <c r="G26" s="7" t="str">
        <f>Tabellone!$H$19</f>
        <v>Egitto</v>
      </c>
      <c r="H26" s="8" t="str">
        <f t="shared" si="0"/>
        <v>Argentina</v>
      </c>
      <c r="I26" s="8" t="str">
        <f t="shared" si="1"/>
        <v>Egitto</v>
      </c>
      <c r="J26" s="9"/>
      <c r="K26" s="7" t="s">
        <v>171</v>
      </c>
      <c r="L26" s="7"/>
      <c r="AB26" s="3" t="str">
        <f t="shared" si="2"/>
        <v>Argentina</v>
      </c>
      <c r="AC26" s="3" t="str">
        <f t="shared" si="3"/>
        <v>Egitto</v>
      </c>
    </row>
    <row r="27" spans="1:29" x14ac:dyDescent="0.2">
      <c r="A27" s="8">
        <v>96</v>
      </c>
      <c r="B27" s="10">
        <v>46210</v>
      </c>
      <c r="C27" s="7" t="s">
        <v>164</v>
      </c>
      <c r="D27" s="7" t="str">
        <f>Tabellone!$H$16</f>
        <v>Svizzera</v>
      </c>
      <c r="E27" s="9">
        <v>1</v>
      </c>
      <c r="F27" s="9">
        <v>3</v>
      </c>
      <c r="G27" s="7" t="str">
        <f>Tabellone!$H$18</f>
        <v>Portogallo</v>
      </c>
      <c r="H27" s="8" t="str">
        <f t="shared" si="0"/>
        <v>Portogallo</v>
      </c>
      <c r="I27" s="8" t="str">
        <f t="shared" si="1"/>
        <v>Svizzera</v>
      </c>
      <c r="J27" s="9"/>
      <c r="K27" s="7" t="s">
        <v>172</v>
      </c>
      <c r="L27" s="7"/>
      <c r="AB27" s="3" t="str">
        <f t="shared" si="2"/>
        <v>Svizzera</v>
      </c>
      <c r="AC27" s="3" t="str">
        <f t="shared" si="3"/>
        <v>Portogallo</v>
      </c>
    </row>
    <row r="28" spans="1:29" x14ac:dyDescent="0.2">
      <c r="A28" s="8">
        <v>97</v>
      </c>
      <c r="B28" s="10">
        <v>46272</v>
      </c>
      <c r="C28" s="7" t="s">
        <v>173</v>
      </c>
      <c r="D28" s="7" t="str">
        <f>Tabellone!$H$20</f>
        <v>Germania</v>
      </c>
      <c r="E28" s="9">
        <v>3</v>
      </c>
      <c r="F28" s="9">
        <v>1</v>
      </c>
      <c r="G28" s="7" t="str">
        <f>Tabellone!$H$21</f>
        <v>Marocco</v>
      </c>
      <c r="H28" s="8" t="str">
        <f t="shared" si="0"/>
        <v>Germania</v>
      </c>
      <c r="I28" s="8" t="str">
        <f t="shared" si="1"/>
        <v>Marocco</v>
      </c>
      <c r="J28" s="9"/>
      <c r="K28" s="7" t="s">
        <v>174</v>
      </c>
      <c r="L28" s="7"/>
      <c r="AB28" s="3" t="str">
        <f t="shared" si="2"/>
        <v>Germania</v>
      </c>
      <c r="AC28" s="3" t="str">
        <f t="shared" si="3"/>
        <v>Marocco</v>
      </c>
    </row>
    <row r="29" spans="1:29" x14ac:dyDescent="0.2">
      <c r="A29" s="8">
        <v>98</v>
      </c>
      <c r="B29" s="10">
        <v>46302</v>
      </c>
      <c r="C29" s="7" t="s">
        <v>173</v>
      </c>
      <c r="D29" s="7" t="str">
        <f>Tabellone!$H$24</f>
        <v>Spagna</v>
      </c>
      <c r="E29" s="9">
        <v>2</v>
      </c>
      <c r="F29" s="9">
        <v>1</v>
      </c>
      <c r="G29" s="7" t="str">
        <f>Tabellone!$H$25</f>
        <v>Turchia</v>
      </c>
      <c r="H29" s="8" t="str">
        <f t="shared" si="0"/>
        <v>Spagna</v>
      </c>
      <c r="I29" s="8" t="str">
        <f t="shared" si="1"/>
        <v>Turchia</v>
      </c>
      <c r="J29" s="9"/>
      <c r="K29" s="7" t="s">
        <v>175</v>
      </c>
      <c r="L29" s="7"/>
      <c r="AB29" s="3" t="str">
        <f t="shared" si="2"/>
        <v>Spagna</v>
      </c>
      <c r="AC29" s="3" t="str">
        <f t="shared" si="3"/>
        <v>Turchia</v>
      </c>
    </row>
    <row r="30" spans="1:29" x14ac:dyDescent="0.2">
      <c r="A30" s="8">
        <v>99</v>
      </c>
      <c r="B30" s="10">
        <v>46333</v>
      </c>
      <c r="C30" s="7" t="s">
        <v>173</v>
      </c>
      <c r="D30" s="7" t="str">
        <f>Tabellone!$H$22</f>
        <v>Brasile</v>
      </c>
      <c r="E30" s="9">
        <v>2</v>
      </c>
      <c r="F30" s="9">
        <v>2</v>
      </c>
      <c r="G30" s="7" t="str">
        <f>Tabellone!$H$23</f>
        <v>Inghilterra</v>
      </c>
      <c r="H30" s="8" t="str">
        <f t="shared" si="0"/>
        <v>Brasile</v>
      </c>
      <c r="I30" s="8" t="str">
        <f t="shared" si="1"/>
        <v>Inghilterra</v>
      </c>
      <c r="J30" s="9" t="s">
        <v>54</v>
      </c>
      <c r="K30" s="7" t="s">
        <v>176</v>
      </c>
      <c r="L30" s="7"/>
      <c r="AB30" s="3" t="str">
        <f t="shared" si="2"/>
        <v>Brasile</v>
      </c>
      <c r="AC30" s="3" t="str">
        <f t="shared" si="3"/>
        <v>Inghilterra</v>
      </c>
    </row>
    <row r="31" spans="1:29" x14ac:dyDescent="0.2">
      <c r="A31" s="8">
        <v>100</v>
      </c>
      <c r="B31" s="10">
        <v>46333</v>
      </c>
      <c r="C31" s="7" t="s">
        <v>173</v>
      </c>
      <c r="D31" s="7" t="str">
        <f>Tabellone!$H$26</f>
        <v>Argentina</v>
      </c>
      <c r="E31" s="9">
        <v>1</v>
      </c>
      <c r="F31" s="9">
        <v>2</v>
      </c>
      <c r="G31" s="7" t="str">
        <f>Tabellone!$H$27</f>
        <v>Portogallo</v>
      </c>
      <c r="H31" s="8" t="str">
        <f t="shared" si="0"/>
        <v>Portogallo</v>
      </c>
      <c r="I31" s="8" t="str">
        <f t="shared" si="1"/>
        <v>Argentina</v>
      </c>
      <c r="J31" s="9"/>
      <c r="K31" s="7" t="s">
        <v>177</v>
      </c>
      <c r="L31" s="7"/>
      <c r="AB31" s="3" t="str">
        <f t="shared" si="2"/>
        <v>Argentina</v>
      </c>
      <c r="AC31" s="3" t="str">
        <f t="shared" si="3"/>
        <v>Portogallo</v>
      </c>
    </row>
    <row r="32" spans="1:29" x14ac:dyDescent="0.2">
      <c r="A32" s="8">
        <v>101</v>
      </c>
      <c r="B32" s="8" t="s">
        <v>178</v>
      </c>
      <c r="C32" s="7" t="s">
        <v>179</v>
      </c>
      <c r="D32" s="7" t="str">
        <f>Tabellone!$H$28</f>
        <v>Germania</v>
      </c>
      <c r="E32" s="9">
        <v>2</v>
      </c>
      <c r="F32" s="9">
        <v>1</v>
      </c>
      <c r="G32" s="7" t="str">
        <f>Tabellone!$H$29</f>
        <v>Spagna</v>
      </c>
      <c r="H32" s="8" t="str">
        <f t="shared" si="0"/>
        <v>Germania</v>
      </c>
      <c r="I32" s="8" t="str">
        <f t="shared" si="1"/>
        <v>Spagna</v>
      </c>
      <c r="J32" s="9"/>
      <c r="K32" s="7" t="s">
        <v>180</v>
      </c>
      <c r="L32" s="7"/>
      <c r="AB32" s="3" t="str">
        <f t="shared" si="2"/>
        <v>Germania</v>
      </c>
      <c r="AC32" s="3" t="str">
        <f t="shared" si="3"/>
        <v>Spagna</v>
      </c>
    </row>
    <row r="33" spans="1:30" x14ac:dyDescent="0.2">
      <c r="A33" s="8">
        <v>102</v>
      </c>
      <c r="B33" s="8" t="s">
        <v>181</v>
      </c>
      <c r="C33" s="7" t="s">
        <v>179</v>
      </c>
      <c r="D33" s="7" t="str">
        <f>Tabellone!$H$30</f>
        <v>Brasile</v>
      </c>
      <c r="E33" s="9">
        <v>1</v>
      </c>
      <c r="F33" s="9">
        <v>2</v>
      </c>
      <c r="G33" s="7" t="str">
        <f>Tabellone!$H$31</f>
        <v>Portogallo</v>
      </c>
      <c r="H33" s="8" t="str">
        <f t="shared" si="0"/>
        <v>Portogallo</v>
      </c>
      <c r="I33" s="8" t="str">
        <f t="shared" si="1"/>
        <v>Brasile</v>
      </c>
      <c r="J33" s="9"/>
      <c r="K33" s="7" t="s">
        <v>182</v>
      </c>
      <c r="L33" s="7"/>
      <c r="AB33" s="3" t="str">
        <f t="shared" si="2"/>
        <v>Brasile</v>
      </c>
      <c r="AC33" s="3" t="str">
        <f t="shared" si="3"/>
        <v>Portogallo</v>
      </c>
    </row>
    <row r="34" spans="1:30" x14ac:dyDescent="0.2">
      <c r="A34" s="8">
        <v>103</v>
      </c>
      <c r="B34" s="8" t="s">
        <v>183</v>
      </c>
      <c r="C34" s="7" t="s">
        <v>184</v>
      </c>
      <c r="D34" s="7" t="str">
        <f>Tabellone!$I$32</f>
        <v>Spagna</v>
      </c>
      <c r="E34" s="9">
        <v>3</v>
      </c>
      <c r="F34" s="9">
        <v>2</v>
      </c>
      <c r="G34" s="7" t="str">
        <f>Tabellone!$I$33</f>
        <v>Brasile</v>
      </c>
      <c r="H34" s="8" t="str">
        <f t="shared" si="0"/>
        <v>Spagna</v>
      </c>
      <c r="I34" s="8" t="str">
        <f t="shared" si="1"/>
        <v>Brasile</v>
      </c>
      <c r="J34" s="9"/>
      <c r="K34" s="7" t="s">
        <v>185</v>
      </c>
      <c r="L34" s="7"/>
      <c r="AB34" s="3" t="str">
        <f t="shared" si="2"/>
        <v>Spagna</v>
      </c>
      <c r="AC34" s="3" t="str">
        <f t="shared" si="3"/>
        <v>Brasile</v>
      </c>
    </row>
    <row r="35" spans="1:30" x14ac:dyDescent="0.2">
      <c r="A35" s="8">
        <v>104</v>
      </c>
      <c r="B35" s="8" t="s">
        <v>186</v>
      </c>
      <c r="C35" s="7" t="s">
        <v>187</v>
      </c>
      <c r="D35" s="7" t="str">
        <f>Tabellone!$H$32</f>
        <v>Germania</v>
      </c>
      <c r="E35" s="9">
        <v>1</v>
      </c>
      <c r="F35" s="9">
        <v>0</v>
      </c>
      <c r="G35" s="7" t="str">
        <f>Tabellone!$H$33</f>
        <v>Portogallo</v>
      </c>
      <c r="H35" s="8" t="str">
        <f t="shared" si="0"/>
        <v>Germania</v>
      </c>
      <c r="I35" s="8" t="str">
        <f t="shared" si="1"/>
        <v>Portogallo</v>
      </c>
      <c r="J35" s="9"/>
      <c r="K35" s="7" t="s">
        <v>188</v>
      </c>
      <c r="L35" s="7"/>
      <c r="AB35" s="3" t="str">
        <f t="shared" si="2"/>
        <v>Germania</v>
      </c>
      <c r="AC35" s="3" t="str">
        <f t="shared" si="3"/>
        <v>Portogallo</v>
      </c>
    </row>
    <row r="37" spans="1:30" x14ac:dyDescent="0.2">
      <c r="C37" s="17" t="s">
        <v>189</v>
      </c>
      <c r="D37" s="17" t="str">
        <f>H35</f>
        <v>Germania</v>
      </c>
      <c r="G37" s="4" t="s">
        <v>194</v>
      </c>
      <c r="K37" s="11" t="s">
        <v>195</v>
      </c>
      <c r="AD37" s="3" t="s">
        <v>198</v>
      </c>
    </row>
    <row r="38" spans="1:30" x14ac:dyDescent="0.2">
      <c r="C38" s="3" t="s">
        <v>190</v>
      </c>
      <c r="D38" s="3" t="str">
        <f>I35</f>
        <v>Portogallo</v>
      </c>
      <c r="G38" s="3" t="str">
        <f>IFERROR(INDEX(Qualificate!$A$4:$A$15,MATCH(ROW()-37,Qualificate!$G$4:$G$15,0)),"")</f>
        <v>A</v>
      </c>
      <c r="H38" s="3" t="str">
        <f>IFERROR(INDEX(Qualificate!$B$4:$B$15,MATCH(ROW()-37,Qualificate!$G$4:$G$15,0)),"")</f>
        <v>Corea del Sud</v>
      </c>
    </row>
    <row r="39" spans="1:30" x14ac:dyDescent="0.2">
      <c r="C39" s="3" t="s">
        <v>191</v>
      </c>
      <c r="D39" s="3" t="str">
        <f>H34</f>
        <v>Spagna</v>
      </c>
      <c r="G39" s="3" t="str">
        <f>IFERROR(INDEX(Qualificate!$A$4:$A$15,MATCH(ROW()-37,Qualificate!$G$4:$G$15,0)),"")</f>
        <v>L</v>
      </c>
      <c r="H39" s="3" t="str">
        <f>IFERROR(INDEX(Qualificate!$B$4:$B$15,MATCH(ROW()-37,Qualificate!$G$4:$G$15,0)),"")</f>
        <v>Ghana</v>
      </c>
    </row>
    <row r="40" spans="1:30" x14ac:dyDescent="0.2">
      <c r="C40" s="3" t="s">
        <v>192</v>
      </c>
      <c r="D40" s="3" t="str">
        <f>I34</f>
        <v>Brasile</v>
      </c>
      <c r="G40" s="3" t="str">
        <f>IFERROR(INDEX(Qualificate!$A$4:$A$15,MATCH(ROW()-37,Qualificate!$G$4:$G$15,0)),"")</f>
        <v>F</v>
      </c>
      <c r="H40" s="3" t="str">
        <f>IFERROR(INDEX(Qualificate!$B$4:$B$15,MATCH(ROW()-37,Qualificate!$G$4:$G$15,0)),"")</f>
        <v>Giappone</v>
      </c>
    </row>
    <row r="41" spans="1:30" x14ac:dyDescent="0.2">
      <c r="G41" s="3" t="str">
        <f>IFERROR(INDEX(Qualificate!$A$4:$A$15,MATCH(ROW()-37,Qualificate!$G$4:$G$15,0)),"")</f>
        <v>G</v>
      </c>
      <c r="H41" s="3" t="str">
        <f>IFERROR(INDEX(Qualificate!$B$4:$B$15,MATCH(ROW()-37,Qualificate!$G$4:$G$15,0)),"")</f>
        <v>Iran</v>
      </c>
    </row>
    <row r="42" spans="1:30" x14ac:dyDescent="0.2">
      <c r="C42" s="4" t="s">
        <v>193</v>
      </c>
      <c r="D42" s="5" t="s">
        <v>201</v>
      </c>
      <c r="G42" s="3" t="str">
        <f>IFERROR(INDEX(Qualificate!$A$4:$A$15,MATCH(ROW()-37,Qualificate!$G$4:$G$15,0)),"")</f>
        <v>I</v>
      </c>
      <c r="H42" s="3" t="str">
        <f>IFERROR(INDEX(Qualificate!$B$4:$B$15,MATCH(ROW()-37,Qualificate!$G$4:$G$15,0)),"")</f>
        <v>Senegal</v>
      </c>
      <c r="AD42" s="3" t="s">
        <v>199</v>
      </c>
    </row>
    <row r="43" spans="1:30" x14ac:dyDescent="0.2">
      <c r="G43" s="3" t="str">
        <f>IFERROR(INDEX(Qualificate!$A$4:$A$15,MATCH(ROW()-37,Qualificate!$G$4:$G$15,0)),"")</f>
        <v>E</v>
      </c>
      <c r="H43" s="3" t="str">
        <f>IFERROR(INDEX(Qualificate!$B$4:$B$15,MATCH(ROW()-37,Qualificate!$G$4:$G$15,0)),"")</f>
        <v>Ecuador</v>
      </c>
    </row>
    <row r="44" spans="1:30" x14ac:dyDescent="0.2">
      <c r="G44" s="3" t="str">
        <f>IFERROR(INDEX(Qualificate!$A$4:$A$15,MATCH(ROW()-37,Qualificate!$G$4:$G$15,0)),"")</f>
        <v>B</v>
      </c>
      <c r="H44" s="3" t="str">
        <f>IFERROR(INDEX(Qualificate!$B$4:$B$15,MATCH(ROW()-37,Qualificate!$G$4:$G$15,0)),"")</f>
        <v>Bosnia ed Erzegovina</v>
      </c>
    </row>
    <row r="45" spans="1:30" x14ac:dyDescent="0.2">
      <c r="G45" s="3" t="str">
        <f>IFERROR(INDEX(Qualificate!$A$4:$A$15,MATCH(ROW()-37,Qualificate!$G$4:$G$15,0)),"")</f>
        <v>C</v>
      </c>
      <c r="H45" s="3" t="str">
        <f>IFERROR(INDEX(Qualificate!$B$4:$B$15,MATCH(ROW()-37,Qualificate!$G$4:$G$15,0)),"")</f>
        <v>Scozia</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Alessandro Reolon</cp:lastModifiedBy>
  <dcterms:created xsi:type="dcterms:W3CDTF">2026-06-03T13:42:51Z</dcterms:created>
  <dcterms:modified xsi:type="dcterms:W3CDTF">2026-06-11T12:33:58Z</dcterms:modified>
</cp:coreProperties>
</file>